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harris/Documents/Hi Consulting/Projects/Start-Up 2nd Edition/Business Plan/"/>
    </mc:Choice>
  </mc:AlternateContent>
  <xr:revisionPtr revIDLastSave="0" documentId="12_ncr:500000_{2C25DFBE-9FF1-9649-A23E-33B3A635FF95}" xr6:coauthVersionLast="31" xr6:coauthVersionMax="31" xr10:uidLastSave="{00000000-0000-0000-0000-000000000000}"/>
  <bookViews>
    <workbookView xWindow="860" yWindow="980" windowWidth="34800" windowHeight="24080" tabRatio="610" xr2:uid="{00000000-000D-0000-FFFF-FFFF00000000}"/>
  </bookViews>
  <sheets>
    <sheet name="P&amp;L" sheetId="1" r:id="rId1"/>
    <sheet name="Cash Flow" sheetId="7" r:id="rId2"/>
    <sheet name="Valuation" sheetId="13" r:id="rId3"/>
    <sheet name="Sales Summary" sheetId="8" r:id="rId4"/>
    <sheet name="Cost of Sales" sheetId="9" r:id="rId5"/>
    <sheet name="Manufacturing" sheetId="10" r:id="rId6"/>
    <sheet name="S&amp;M" sheetId="3" r:id="rId7"/>
    <sheet name="R&amp;D" sheetId="4" r:id="rId8"/>
    <sheet name="G&amp;A" sheetId="2" r:id="rId9"/>
    <sheet name="Headcount" sheetId="5" r:id="rId10"/>
    <sheet name="Salaries" sheetId="6" r:id="rId11"/>
    <sheet name="Capex" sheetId="11" r:id="rId12"/>
    <sheet name="Facilities" sheetId="12" r:id="rId13"/>
  </sheets>
  <definedNames>
    <definedName name="_xlnm.Print_Area" localSheetId="11">Capex!$A$1:$N$35</definedName>
    <definedName name="_xlnm.Print_Area" localSheetId="1">'Cash Flow'!$A$1:$O$35</definedName>
    <definedName name="_xlnm.Print_Area" localSheetId="4">'Cost of Sales'!$A$1:$O$29</definedName>
    <definedName name="_xlnm.Print_Area" localSheetId="12">Facilities!$A$1:$O$24</definedName>
    <definedName name="_xlnm.Print_Area" localSheetId="8">'G&amp;A'!$A$1:$O$50</definedName>
    <definedName name="_xlnm.Print_Area" localSheetId="9">Headcount!$A$1:$N$33</definedName>
    <definedName name="_xlnm.Print_Area" localSheetId="5">Manufacturing!$A$1:$O$32</definedName>
    <definedName name="_xlnm.Print_Area" localSheetId="0">'P&amp;L'!$A$1:$N$35</definedName>
    <definedName name="_xlnm.Print_Area" localSheetId="7">'R&amp;D'!$A$1:$O$36</definedName>
    <definedName name="_xlnm.Print_Area" localSheetId="6">'S&amp;M'!$A$1:$O$34</definedName>
    <definedName name="_xlnm.Print_Area" localSheetId="10">Salaries!$A$1:$N$33</definedName>
    <definedName name="_xlnm.Print_Area" localSheetId="3">'Sales Summary'!$A$1:$O$59</definedName>
    <definedName name="_xlnm.Print_Area" localSheetId="2">Valuation!$A$1:$N$40</definedName>
  </definedNames>
  <calcPr calcId="162913"/>
</workbook>
</file>

<file path=xl/calcChain.xml><?xml version="1.0" encoding="utf-8"?>
<calcChain xmlns="http://schemas.openxmlformats.org/spreadsheetml/2006/main">
  <c r="E9" i="8" l="1"/>
  <c r="E16" i="8"/>
  <c r="F9" i="8"/>
  <c r="F16" i="8"/>
  <c r="G9" i="8"/>
  <c r="G16" i="8"/>
  <c r="D9" i="8"/>
  <c r="D16" i="8"/>
  <c r="I9" i="8"/>
  <c r="I16" i="8"/>
  <c r="I9" i="9"/>
  <c r="I14" i="9"/>
  <c r="J9" i="8"/>
  <c r="J14" i="9" s="1"/>
  <c r="J16" i="8"/>
  <c r="J9" i="9"/>
  <c r="I26" i="8"/>
  <c r="I27" i="8" s="1"/>
  <c r="I28" i="8" s="1"/>
  <c r="I29" i="8" s="1"/>
  <c r="I30" i="8"/>
  <c r="K27" i="6"/>
  <c r="K28" i="5"/>
  <c r="K7" i="10"/>
  <c r="K12" i="10"/>
  <c r="K17" i="10"/>
  <c r="K18" i="10"/>
  <c r="K19" i="10"/>
  <c r="L28" i="5"/>
  <c r="L27" i="6"/>
  <c r="L11" i="10"/>
  <c r="E9" i="9"/>
  <c r="E14" i="9"/>
  <c r="F9" i="9"/>
  <c r="F14" i="9"/>
  <c r="G9" i="9"/>
  <c r="G14" i="9"/>
  <c r="D9" i="9"/>
  <c r="D14" i="9"/>
  <c r="E8" i="9"/>
  <c r="G13" i="9"/>
  <c r="J7" i="9"/>
  <c r="G26" i="8"/>
  <c r="G27" i="8"/>
  <c r="G28" i="8"/>
  <c r="G29" i="8" s="1"/>
  <c r="G30" i="8" s="1"/>
  <c r="E39" i="8" s="1"/>
  <c r="E26" i="8"/>
  <c r="E27" i="8"/>
  <c r="E28" i="8" s="1"/>
  <c r="E29" i="8" s="1"/>
  <c r="E30" i="8" s="1"/>
  <c r="D38" i="8"/>
  <c r="H38" i="8"/>
  <c r="B40" i="8"/>
  <c r="B39" i="8"/>
  <c r="B38" i="8"/>
  <c r="I36" i="8"/>
  <c r="L8" i="8"/>
  <c r="L13" i="9" s="1"/>
  <c r="L25" i="6"/>
  <c r="L26" i="6"/>
  <c r="L28" i="6" s="1"/>
  <c r="L8" i="10" s="1"/>
  <c r="L26" i="10"/>
  <c r="L14" i="6"/>
  <c r="L15" i="6"/>
  <c r="L16" i="6"/>
  <c r="L18" i="6" s="1"/>
  <c r="L8" i="3" s="1"/>
  <c r="L17" i="6"/>
  <c r="L18" i="5"/>
  <c r="L7" i="3"/>
  <c r="K18" i="5"/>
  <c r="K7" i="3"/>
  <c r="L25" i="3"/>
  <c r="G12" i="5"/>
  <c r="G7" i="2" s="1"/>
  <c r="L31" i="2"/>
  <c r="K12" i="5"/>
  <c r="K7" i="2"/>
  <c r="L12" i="5"/>
  <c r="L7" i="2"/>
  <c r="L7" i="6"/>
  <c r="L8" i="6"/>
  <c r="L9" i="6"/>
  <c r="L12" i="6" s="1"/>
  <c r="L8" i="2" s="1"/>
  <c r="L10" i="6"/>
  <c r="L11" i="6"/>
  <c r="L23" i="5"/>
  <c r="L26" i="2"/>
  <c r="L45" i="2"/>
  <c r="L20" i="6"/>
  <c r="L21" i="6"/>
  <c r="L22" i="6"/>
  <c r="L7" i="4"/>
  <c r="L18" i="4" s="1"/>
  <c r="L12" i="4"/>
  <c r="K23" i="5"/>
  <c r="K7" i="4" s="1"/>
  <c r="L13" i="4" s="1"/>
  <c r="L17" i="4"/>
  <c r="L19" i="4" s="1"/>
  <c r="L29" i="4"/>
  <c r="L30" i="4"/>
  <c r="L26" i="4"/>
  <c r="L8" i="11"/>
  <c r="L12" i="11"/>
  <c r="L18" i="11"/>
  <c r="L23" i="11"/>
  <c r="L31" i="11" s="1"/>
  <c r="L21" i="1" s="1"/>
  <c r="L29" i="11"/>
  <c r="H24" i="7"/>
  <c r="H20" i="7"/>
  <c r="D7" i="8"/>
  <c r="D8" i="8"/>
  <c r="D13" i="9" s="1"/>
  <c r="D15" i="8"/>
  <c r="E7" i="8"/>
  <c r="E8" i="8"/>
  <c r="E13" i="9" s="1"/>
  <c r="E15" i="8"/>
  <c r="F7" i="8"/>
  <c r="F8" i="8"/>
  <c r="F8" i="9" s="1"/>
  <c r="F15" i="8"/>
  <c r="G7" i="8"/>
  <c r="G8" i="8"/>
  <c r="G8" i="9" s="1"/>
  <c r="D25" i="6"/>
  <c r="D26" i="6"/>
  <c r="D27" i="6"/>
  <c r="D28" i="6"/>
  <c r="D8" i="10" s="1"/>
  <c r="E25" i="6"/>
  <c r="E28" i="6" s="1"/>
  <c r="E8" i="10" s="1"/>
  <c r="E26" i="6"/>
  <c r="E27" i="6"/>
  <c r="F25" i="6"/>
  <c r="F26" i="6"/>
  <c r="F28" i="6" s="1"/>
  <c r="F8" i="10" s="1"/>
  <c r="F27" i="6"/>
  <c r="G25" i="6"/>
  <c r="G28" i="6" s="1"/>
  <c r="G26" i="6"/>
  <c r="G27" i="6"/>
  <c r="G8" i="10"/>
  <c r="E10" i="10"/>
  <c r="D11" i="10"/>
  <c r="D28" i="5"/>
  <c r="D7" i="10"/>
  <c r="E28" i="5"/>
  <c r="E7" i="10" s="1"/>
  <c r="E12" i="10"/>
  <c r="F28" i="5"/>
  <c r="F7" i="10" s="1"/>
  <c r="G28" i="5"/>
  <c r="G7" i="10"/>
  <c r="G18" i="10" s="1"/>
  <c r="E17" i="10"/>
  <c r="F17" i="10"/>
  <c r="E18" i="10"/>
  <c r="F18" i="10"/>
  <c r="F26" i="10"/>
  <c r="G26" i="10"/>
  <c r="E26" i="10"/>
  <c r="D14" i="6"/>
  <c r="D15" i="6"/>
  <c r="D16" i="6"/>
  <c r="D18" i="6" s="1"/>
  <c r="D8" i="3" s="1"/>
  <c r="D17" i="6"/>
  <c r="E14" i="6"/>
  <c r="E15" i="6"/>
  <c r="E18" i="6" s="1"/>
  <c r="E8" i="3" s="1"/>
  <c r="E16" i="6"/>
  <c r="E17" i="6"/>
  <c r="F14" i="6"/>
  <c r="F15" i="6"/>
  <c r="F16" i="6"/>
  <c r="F17" i="6"/>
  <c r="H17" i="6" s="1"/>
  <c r="G14" i="6"/>
  <c r="G15" i="6"/>
  <c r="G16" i="6"/>
  <c r="G17" i="6"/>
  <c r="G18" i="6"/>
  <c r="G8" i="3" s="1"/>
  <c r="D10" i="3"/>
  <c r="D11" i="3"/>
  <c r="D18" i="5"/>
  <c r="D7" i="3" s="1"/>
  <c r="D17" i="3" s="1"/>
  <c r="D12" i="3"/>
  <c r="E18" i="5"/>
  <c r="E7" i="3" s="1"/>
  <c r="E17" i="3" s="1"/>
  <c r="F18" i="5"/>
  <c r="F7" i="3"/>
  <c r="G18" i="5"/>
  <c r="G7" i="3"/>
  <c r="G17" i="3" s="1"/>
  <c r="F13" i="3"/>
  <c r="G13" i="3"/>
  <c r="D18" i="3"/>
  <c r="G18" i="3"/>
  <c r="H22" i="3"/>
  <c r="H23" i="3"/>
  <c r="H25" i="3" s="1"/>
  <c r="H24" i="3"/>
  <c r="D7" i="6"/>
  <c r="D8" i="6"/>
  <c r="D9" i="6"/>
  <c r="D10" i="6"/>
  <c r="D11" i="6"/>
  <c r="D12" i="5"/>
  <c r="D7" i="2"/>
  <c r="D12" i="2"/>
  <c r="D31" i="2"/>
  <c r="D32" i="2"/>
  <c r="D23" i="5"/>
  <c r="D30" i="5" s="1"/>
  <c r="D9" i="12" s="1"/>
  <c r="D21" i="12"/>
  <c r="D47" i="2"/>
  <c r="D26" i="2"/>
  <c r="D45" i="2"/>
  <c r="E12" i="5"/>
  <c r="E7" i="2" s="1"/>
  <c r="E13" i="2" s="1"/>
  <c r="H13" i="2" s="1"/>
  <c r="E7" i="6"/>
  <c r="E8" i="6"/>
  <c r="E9" i="6"/>
  <c r="E10" i="6"/>
  <c r="E11" i="6"/>
  <c r="E17" i="2"/>
  <c r="E18" i="2"/>
  <c r="E29" i="2"/>
  <c r="E31" i="2"/>
  <c r="E33" i="2"/>
  <c r="E34" i="2"/>
  <c r="E23" i="5"/>
  <c r="E30" i="5"/>
  <c r="E9" i="12" s="1"/>
  <c r="E45" i="2"/>
  <c r="F12" i="5"/>
  <c r="F7" i="2"/>
  <c r="F13" i="2"/>
  <c r="F7" i="6"/>
  <c r="F8" i="6"/>
  <c r="F9" i="6"/>
  <c r="F10" i="6"/>
  <c r="F11" i="6"/>
  <c r="F17" i="2"/>
  <c r="F32" i="2"/>
  <c r="F33" i="2"/>
  <c r="F23" i="5"/>
  <c r="F30" i="5"/>
  <c r="F9" i="12"/>
  <c r="F21" i="12" s="1"/>
  <c r="F47" i="2" s="1"/>
  <c r="F45" i="2"/>
  <c r="G13" i="2"/>
  <c r="G7" i="6"/>
  <c r="G12" i="6" s="1"/>
  <c r="G8" i="6"/>
  <c r="G9" i="6"/>
  <c r="G10" i="6"/>
  <c r="G11" i="6"/>
  <c r="G12" i="2"/>
  <c r="G17" i="2"/>
  <c r="G19" i="2" s="1"/>
  <c r="G18" i="2"/>
  <c r="G29" i="2"/>
  <c r="G30" i="2"/>
  <c r="G31" i="2"/>
  <c r="G32" i="2"/>
  <c r="G33" i="2"/>
  <c r="G34" i="2"/>
  <c r="G35" i="2"/>
  <c r="G23" i="5"/>
  <c r="G30" i="5"/>
  <c r="G9" i="12"/>
  <c r="G21" i="12"/>
  <c r="G47" i="2" s="1"/>
  <c r="G45" i="2"/>
  <c r="D20" i="6"/>
  <c r="D23" i="6" s="1"/>
  <c r="D8" i="4" s="1"/>
  <c r="D21" i="6"/>
  <c r="D22" i="6"/>
  <c r="E20" i="6"/>
  <c r="E23" i="6" s="1"/>
  <c r="E8" i="4" s="1"/>
  <c r="E21" i="6"/>
  <c r="E22" i="6"/>
  <c r="F20" i="6"/>
  <c r="F21" i="6"/>
  <c r="F22" i="6"/>
  <c r="F23" i="6"/>
  <c r="F8" i="4" s="1"/>
  <c r="G20" i="6"/>
  <c r="G21" i="6"/>
  <c r="G23" i="6" s="1"/>
  <c r="G8" i="4" s="1"/>
  <c r="G22" i="6"/>
  <c r="H22" i="6" s="1"/>
  <c r="D7" i="4"/>
  <c r="D18" i="4" s="1"/>
  <c r="D12" i="4"/>
  <c r="E7" i="4"/>
  <c r="F7" i="4"/>
  <c r="F29" i="4" s="1"/>
  <c r="G7" i="4"/>
  <c r="D17" i="4"/>
  <c r="G17" i="4"/>
  <c r="G18" i="4"/>
  <c r="D29" i="4"/>
  <c r="D31" i="4" s="1"/>
  <c r="D30" i="4"/>
  <c r="E30" i="4"/>
  <c r="G29" i="4"/>
  <c r="D26" i="4"/>
  <c r="E26" i="4"/>
  <c r="F26" i="4"/>
  <c r="G26" i="4"/>
  <c r="H26" i="4"/>
  <c r="D18" i="11"/>
  <c r="D29" i="11"/>
  <c r="E18" i="11"/>
  <c r="H18" i="11" s="1"/>
  <c r="F18" i="11"/>
  <c r="F29" i="11"/>
  <c r="G8" i="11"/>
  <c r="G18" i="11"/>
  <c r="G23" i="11"/>
  <c r="I7" i="8"/>
  <c r="I8" i="8"/>
  <c r="I13" i="9" s="1"/>
  <c r="I15" i="8"/>
  <c r="I25" i="6"/>
  <c r="I26" i="6"/>
  <c r="I27" i="6"/>
  <c r="I28" i="6"/>
  <c r="I8" i="10" s="1"/>
  <c r="I28" i="5"/>
  <c r="I7" i="10" s="1"/>
  <c r="I12" i="10" s="1"/>
  <c r="I17" i="10"/>
  <c r="I26" i="10"/>
  <c r="I14" i="6"/>
  <c r="I15" i="6"/>
  <c r="I16" i="6"/>
  <c r="I18" i="6" s="1"/>
  <c r="I8" i="3" s="1"/>
  <c r="I17" i="6"/>
  <c r="I18" i="5"/>
  <c r="I7" i="3"/>
  <c r="I18" i="3" s="1"/>
  <c r="I12" i="3"/>
  <c r="H7" i="3"/>
  <c r="I17" i="3"/>
  <c r="I25" i="3"/>
  <c r="I30" i="2"/>
  <c r="I31" i="2"/>
  <c r="I34" i="2"/>
  <c r="H7" i="2"/>
  <c r="I12" i="5"/>
  <c r="I7" i="2"/>
  <c r="I17" i="2" s="1"/>
  <c r="I13" i="2"/>
  <c r="I7" i="6"/>
  <c r="I12" i="6" s="1"/>
  <c r="I8" i="2" s="1"/>
  <c r="I8" i="6"/>
  <c r="I9" i="6"/>
  <c r="I10" i="6"/>
  <c r="I11" i="6"/>
  <c r="I12" i="2"/>
  <c r="I23" i="5"/>
  <c r="I30" i="5" s="1"/>
  <c r="I9" i="12" s="1"/>
  <c r="I21" i="12" s="1"/>
  <c r="I47" i="2" s="1"/>
  <c r="I26" i="2"/>
  <c r="I45" i="2"/>
  <c r="I20" i="6"/>
  <c r="I21" i="6"/>
  <c r="I22" i="6"/>
  <c r="I23" i="6"/>
  <c r="I8" i="4" s="1"/>
  <c r="H7" i="4"/>
  <c r="I26" i="4"/>
  <c r="I8" i="11"/>
  <c r="I12" i="11"/>
  <c r="I18" i="11"/>
  <c r="I23" i="11"/>
  <c r="I29" i="11"/>
  <c r="I31" i="11"/>
  <c r="I21" i="1" s="1"/>
  <c r="J7" i="8"/>
  <c r="J12" i="9" s="1"/>
  <c r="J8" i="8"/>
  <c r="J15" i="8"/>
  <c r="J25" i="6"/>
  <c r="J26" i="6"/>
  <c r="J27" i="6"/>
  <c r="J28" i="5"/>
  <c r="J7" i="10"/>
  <c r="K13" i="10" s="1"/>
  <c r="J12" i="10"/>
  <c r="J17" i="10"/>
  <c r="J18" i="10"/>
  <c r="J26" i="10"/>
  <c r="J14" i="6"/>
  <c r="J15" i="6"/>
  <c r="J16" i="6"/>
  <c r="J17" i="6"/>
  <c r="J18" i="6"/>
  <c r="J8" i="3" s="1"/>
  <c r="J11" i="3"/>
  <c r="J18" i="5"/>
  <c r="J7" i="3" s="1"/>
  <c r="J13" i="3"/>
  <c r="J25" i="3"/>
  <c r="J29" i="2"/>
  <c r="J30" i="2"/>
  <c r="J31" i="2"/>
  <c r="J32" i="2"/>
  <c r="J33" i="2"/>
  <c r="J34" i="2"/>
  <c r="J12" i="5"/>
  <c r="J30" i="5" s="1"/>
  <c r="J7" i="2"/>
  <c r="J7" i="6"/>
  <c r="J8" i="6"/>
  <c r="J9" i="6"/>
  <c r="J12" i="6" s="1"/>
  <c r="J8" i="2" s="1"/>
  <c r="J10" i="6"/>
  <c r="J11" i="6"/>
  <c r="J23" i="5"/>
  <c r="J7" i="4" s="1"/>
  <c r="J26" i="2"/>
  <c r="J45" i="2"/>
  <c r="J20" i="6"/>
  <c r="J21" i="6"/>
  <c r="J22" i="6"/>
  <c r="J26" i="4"/>
  <c r="J8" i="11"/>
  <c r="J12" i="11"/>
  <c r="J18" i="11"/>
  <c r="J23" i="11"/>
  <c r="J29" i="11"/>
  <c r="J31" i="11"/>
  <c r="J21" i="1" s="1"/>
  <c r="K7" i="8"/>
  <c r="K14" i="8" s="1"/>
  <c r="K8" i="8"/>
  <c r="K15" i="8"/>
  <c r="K25" i="6"/>
  <c r="K28" i="6" s="1"/>
  <c r="K8" i="10" s="1"/>
  <c r="K26" i="6"/>
  <c r="K26" i="10"/>
  <c r="K14" i="6"/>
  <c r="K15" i="6"/>
  <c r="K16" i="6"/>
  <c r="K17" i="6"/>
  <c r="K12" i="3"/>
  <c r="K17" i="3"/>
  <c r="K18" i="3"/>
  <c r="K19" i="3"/>
  <c r="K25" i="3"/>
  <c r="K29" i="2"/>
  <c r="K30" i="2"/>
  <c r="K31" i="2"/>
  <c r="K33" i="2"/>
  <c r="K34" i="2"/>
  <c r="K7" i="6"/>
  <c r="K8" i="6"/>
  <c r="K9" i="6"/>
  <c r="K10" i="6"/>
  <c r="K11" i="6"/>
  <c r="K12" i="6"/>
  <c r="K8" i="2" s="1"/>
  <c r="K12" i="2"/>
  <c r="K17" i="2"/>
  <c r="K18" i="2"/>
  <c r="K26" i="2"/>
  <c r="K45" i="2"/>
  <c r="K20" i="6"/>
  <c r="K21" i="6"/>
  <c r="K22" i="6"/>
  <c r="K17" i="4"/>
  <c r="K29" i="4"/>
  <c r="K31" i="4" s="1"/>
  <c r="K30" i="4"/>
  <c r="K26" i="4"/>
  <c r="K8" i="11"/>
  <c r="K12" i="11"/>
  <c r="K18" i="11"/>
  <c r="K31" i="11" s="1"/>
  <c r="K23" i="11"/>
  <c r="K29" i="11"/>
  <c r="K21" i="1"/>
  <c r="H32" i="7"/>
  <c r="J21" i="7"/>
  <c r="D26" i="7"/>
  <c r="D27" i="7" s="1"/>
  <c r="E26" i="7"/>
  <c r="D21" i="7"/>
  <c r="E21" i="7"/>
  <c r="F21" i="7"/>
  <c r="G21" i="7"/>
  <c r="H21" i="7"/>
  <c r="H17" i="7"/>
  <c r="H25" i="7"/>
  <c r="I21" i="7"/>
  <c r="K21" i="7"/>
  <c r="L21" i="7"/>
  <c r="E8" i="11"/>
  <c r="E31" i="11" s="1"/>
  <c r="E21" i="1" s="1"/>
  <c r="F8" i="11"/>
  <c r="H7" i="11"/>
  <c r="H8" i="11"/>
  <c r="D8" i="11"/>
  <c r="D31" i="11" s="1"/>
  <c r="D21" i="1" s="1"/>
  <c r="H23" i="10"/>
  <c r="H24" i="10"/>
  <c r="H25" i="10"/>
  <c r="B8" i="9"/>
  <c r="B13" i="9"/>
  <c r="B9" i="9"/>
  <c r="B14" i="9" s="1"/>
  <c r="B7" i="9"/>
  <c r="B12" i="9"/>
  <c r="H7" i="6"/>
  <c r="H12" i="6" s="1"/>
  <c r="H8" i="6"/>
  <c r="H9" i="6"/>
  <c r="H10" i="6"/>
  <c r="H11" i="6"/>
  <c r="H14" i="6"/>
  <c r="H15" i="6"/>
  <c r="H16" i="6"/>
  <c r="H18" i="6"/>
  <c r="H20" i="6"/>
  <c r="H21" i="6"/>
  <c r="H23" i="6"/>
  <c r="H25" i="6"/>
  <c r="H28" i="6" s="1"/>
  <c r="H30" i="6" s="1"/>
  <c r="H26" i="6"/>
  <c r="H27" i="6"/>
  <c r="H7" i="5"/>
  <c r="H9" i="5"/>
  <c r="H12" i="5"/>
  <c r="H25" i="5"/>
  <c r="H28" i="5" s="1"/>
  <c r="H14" i="5"/>
  <c r="H20" i="5"/>
  <c r="H23" i="5" s="1"/>
  <c r="H21" i="5"/>
  <c r="H27" i="5"/>
  <c r="H26" i="5"/>
  <c r="H22" i="5"/>
  <c r="H17" i="5"/>
  <c r="H16" i="5"/>
  <c r="H18" i="5" s="1"/>
  <c r="H15" i="5"/>
  <c r="H8" i="5"/>
  <c r="H10" i="5"/>
  <c r="H11" i="5"/>
  <c r="B9" i="8"/>
  <c r="B8" i="8"/>
  <c r="B7" i="8"/>
  <c r="B14" i="8" s="1"/>
  <c r="B15" i="8"/>
  <c r="B16" i="8"/>
  <c r="H16" i="8"/>
  <c r="J11" i="8"/>
  <c r="J7" i="1" s="1"/>
  <c r="I11" i="8"/>
  <c r="E11" i="8"/>
  <c r="F11" i="8"/>
  <c r="G11" i="8"/>
  <c r="D11" i="8"/>
  <c r="H11" i="8" s="1"/>
  <c r="H14" i="9"/>
  <c r="H9" i="9"/>
  <c r="H29" i="1"/>
  <c r="D26" i="10"/>
  <c r="H26" i="10" s="1"/>
  <c r="D19" i="3"/>
  <c r="D19" i="4"/>
  <c r="H29" i="11"/>
  <c r="H28" i="11"/>
  <c r="H27" i="11"/>
  <c r="H26" i="11"/>
  <c r="H25" i="11"/>
  <c r="H22" i="11"/>
  <c r="H21" i="11"/>
  <c r="H20" i="11"/>
  <c r="H17" i="11"/>
  <c r="H16" i="11"/>
  <c r="H15" i="11"/>
  <c r="H14" i="11"/>
  <c r="H11" i="11"/>
  <c r="H10" i="11"/>
  <c r="E19" i="10"/>
  <c r="F19" i="10"/>
  <c r="F25" i="3"/>
  <c r="G19" i="3"/>
  <c r="G25" i="3"/>
  <c r="G19" i="4"/>
  <c r="I29" i="1"/>
  <c r="E7" i="1"/>
  <c r="F7" i="1"/>
  <c r="G7" i="1"/>
  <c r="H7" i="1"/>
  <c r="I7" i="1"/>
  <c r="H8" i="8"/>
  <c r="H9" i="8"/>
  <c r="H7" i="8"/>
  <c r="H22" i="10"/>
  <c r="H22" i="4"/>
  <c r="H23" i="4"/>
  <c r="H24" i="4"/>
  <c r="H25" i="4"/>
  <c r="E25" i="3"/>
  <c r="D25" i="3"/>
  <c r="E29" i="11"/>
  <c r="G29" i="11"/>
  <c r="E23" i="11"/>
  <c r="F23" i="11"/>
  <c r="D23" i="11"/>
  <c r="H23" i="11" s="1"/>
  <c r="E12" i="11"/>
  <c r="F12" i="11"/>
  <c r="G12" i="11"/>
  <c r="D12" i="11"/>
  <c r="H13" i="12"/>
  <c r="H14" i="12"/>
  <c r="H15" i="12"/>
  <c r="H16" i="12"/>
  <c r="H17" i="12"/>
  <c r="H18" i="12"/>
  <c r="H19" i="12"/>
  <c r="H12" i="12"/>
  <c r="I30" i="6"/>
  <c r="H22" i="2"/>
  <c r="H23" i="2"/>
  <c r="H26" i="2" s="1"/>
  <c r="H24" i="2"/>
  <c r="H25" i="2"/>
  <c r="H39" i="2"/>
  <c r="H45" i="2" s="1"/>
  <c r="H40" i="2"/>
  <c r="H41" i="2"/>
  <c r="H42" i="2"/>
  <c r="H43" i="2"/>
  <c r="H44" i="2"/>
  <c r="E26" i="2"/>
  <c r="F26" i="2"/>
  <c r="G26" i="2"/>
  <c r="H30" i="5" l="1"/>
  <c r="J9" i="2"/>
  <c r="J10" i="2"/>
  <c r="J11" i="2"/>
  <c r="I11" i="3"/>
  <c r="I9" i="3"/>
  <c r="I14" i="3" s="1"/>
  <c r="I10" i="3"/>
  <c r="E21" i="12"/>
  <c r="E47" i="2" s="1"/>
  <c r="H47" i="2" s="1"/>
  <c r="H9" i="12"/>
  <c r="H21" i="12" s="1"/>
  <c r="E11" i="3"/>
  <c r="E10" i="3"/>
  <c r="E9" i="3"/>
  <c r="E14" i="3" s="1"/>
  <c r="J13" i="2"/>
  <c r="J14" i="2" s="1"/>
  <c r="J17" i="2"/>
  <c r="K13" i="2"/>
  <c r="J18" i="2"/>
  <c r="F31" i="11"/>
  <c r="F21" i="1" s="1"/>
  <c r="H21" i="1" s="1"/>
  <c r="K19" i="2"/>
  <c r="K14" i="10"/>
  <c r="K28" i="10" s="1"/>
  <c r="K17" i="9" s="1"/>
  <c r="K9" i="10"/>
  <c r="K10" i="10"/>
  <c r="K11" i="10"/>
  <c r="J23" i="6"/>
  <c r="J12" i="2"/>
  <c r="J29" i="1"/>
  <c r="J9" i="12"/>
  <c r="J21" i="12" s="1"/>
  <c r="J47" i="2" s="1"/>
  <c r="J9" i="3"/>
  <c r="J10" i="3"/>
  <c r="J19" i="10"/>
  <c r="I9" i="4"/>
  <c r="I10" i="4"/>
  <c r="I11" i="4"/>
  <c r="I10" i="2"/>
  <c r="I14" i="2" s="1"/>
  <c r="I11" i="2"/>
  <c r="I9" i="2"/>
  <c r="F9" i="4"/>
  <c r="F10" i="4"/>
  <c r="F14" i="4" s="1"/>
  <c r="F11" i="4"/>
  <c r="G9" i="3"/>
  <c r="G10" i="3"/>
  <c r="G11" i="3"/>
  <c r="K9" i="2"/>
  <c r="K14" i="2"/>
  <c r="K10" i="2"/>
  <c r="D29" i="7"/>
  <c r="K23" i="6"/>
  <c r="K8" i="4" s="1"/>
  <c r="I19" i="3"/>
  <c r="I9" i="10"/>
  <c r="I14" i="10"/>
  <c r="I10" i="10"/>
  <c r="I11" i="10"/>
  <c r="D11" i="4"/>
  <c r="H11" i="4" s="1"/>
  <c r="H8" i="4"/>
  <c r="D9" i="4"/>
  <c r="D10" i="4"/>
  <c r="H10" i="4" s="1"/>
  <c r="G8" i="2"/>
  <c r="G30" i="6"/>
  <c r="F26" i="7"/>
  <c r="E27" i="7"/>
  <c r="E29" i="7" s="1"/>
  <c r="D7" i="1"/>
  <c r="H12" i="11"/>
  <c r="H31" i="11" s="1"/>
  <c r="K11" i="2"/>
  <c r="K18" i="6"/>
  <c r="K8" i="3" s="1"/>
  <c r="J29" i="4"/>
  <c r="J31" i="4" s="1"/>
  <c r="J17" i="4"/>
  <c r="J30" i="4"/>
  <c r="J12" i="4"/>
  <c r="J18" i="4"/>
  <c r="K13" i="4"/>
  <c r="J35" i="2"/>
  <c r="J17" i="3"/>
  <c r="J19" i="3" s="1"/>
  <c r="J12" i="3"/>
  <c r="J14" i="3" s="1"/>
  <c r="J18" i="3"/>
  <c r="K13" i="3"/>
  <c r="J28" i="6"/>
  <c r="J8" i="10" s="1"/>
  <c r="I19" i="2"/>
  <c r="G9" i="4"/>
  <c r="G10" i="4"/>
  <c r="G11" i="4"/>
  <c r="G14" i="4"/>
  <c r="E10" i="4"/>
  <c r="E11" i="4"/>
  <c r="E9" i="4"/>
  <c r="I12" i="9"/>
  <c r="I7" i="9"/>
  <c r="E12" i="4"/>
  <c r="H12" i="4" s="1"/>
  <c r="E17" i="4"/>
  <c r="L13" i="2"/>
  <c r="L17" i="2"/>
  <c r="L18" i="2"/>
  <c r="L12" i="3"/>
  <c r="L17" i="3"/>
  <c r="L18" i="3"/>
  <c r="J15" i="9"/>
  <c r="K9" i="8"/>
  <c r="D40" i="8"/>
  <c r="H40" i="8"/>
  <c r="L9" i="8"/>
  <c r="E40" i="8"/>
  <c r="F40" i="8"/>
  <c r="K8" i="9"/>
  <c r="K13" i="9"/>
  <c r="J8" i="9"/>
  <c r="J13" i="9"/>
  <c r="I13" i="10"/>
  <c r="E29" i="4"/>
  <c r="G12" i="4"/>
  <c r="G13" i="4"/>
  <c r="G30" i="4"/>
  <c r="G31" i="4" s="1"/>
  <c r="F18" i="2"/>
  <c r="F19" i="2" s="1"/>
  <c r="F31" i="2"/>
  <c r="H31" i="2" s="1"/>
  <c r="E19" i="2"/>
  <c r="E12" i="6"/>
  <c r="D29" i="2"/>
  <c r="D33" i="2"/>
  <c r="H33" i="2" s="1"/>
  <c r="D17" i="2"/>
  <c r="D30" i="2"/>
  <c r="D34" i="2"/>
  <c r="H34" i="2" s="1"/>
  <c r="D12" i="6"/>
  <c r="F12" i="3"/>
  <c r="F17" i="3"/>
  <c r="F18" i="3"/>
  <c r="F18" i="6"/>
  <c r="F8" i="3" s="1"/>
  <c r="D12" i="10"/>
  <c r="H12" i="10" s="1"/>
  <c r="E13" i="10"/>
  <c r="D17" i="10"/>
  <c r="D18" i="10"/>
  <c r="H18" i="10" s="1"/>
  <c r="L9" i="2"/>
  <c r="L10" i="2"/>
  <c r="L14" i="2" s="1"/>
  <c r="L11" i="2"/>
  <c r="L13" i="3"/>
  <c r="K11" i="8"/>
  <c r="K7" i="1" s="1"/>
  <c r="K18" i="4"/>
  <c r="K19" i="4" s="1"/>
  <c r="K12" i="4"/>
  <c r="K30" i="5"/>
  <c r="K32" i="2"/>
  <c r="K35" i="2" s="1"/>
  <c r="J14" i="8"/>
  <c r="J17" i="8" s="1"/>
  <c r="I18" i="2"/>
  <c r="I33" i="2"/>
  <c r="I29" i="2"/>
  <c r="I13" i="3"/>
  <c r="H7" i="10"/>
  <c r="F30" i="4"/>
  <c r="F18" i="4"/>
  <c r="F17" i="4"/>
  <c r="F19" i="4" s="1"/>
  <c r="F13" i="4"/>
  <c r="F12" i="4"/>
  <c r="F30" i="2"/>
  <c r="E30" i="2"/>
  <c r="E35" i="2" s="1"/>
  <c r="G12" i="3"/>
  <c r="G17" i="10"/>
  <c r="G19" i="10" s="1"/>
  <c r="G13" i="10"/>
  <c r="F12" i="10"/>
  <c r="F13" i="10"/>
  <c r="F10" i="10"/>
  <c r="F11" i="10"/>
  <c r="H11" i="10" s="1"/>
  <c r="F9" i="10"/>
  <c r="E11" i="10"/>
  <c r="E9" i="10"/>
  <c r="E14" i="10" s="1"/>
  <c r="E28" i="10" s="1"/>
  <c r="E17" i="9" s="1"/>
  <c r="D14" i="8"/>
  <c r="D7" i="9"/>
  <c r="D12" i="9"/>
  <c r="L12" i="2"/>
  <c r="G40" i="8"/>
  <c r="L7" i="10"/>
  <c r="L30" i="5"/>
  <c r="K7" i="9"/>
  <c r="K12" i="9"/>
  <c r="J13" i="10"/>
  <c r="I7" i="4"/>
  <c r="I32" i="2"/>
  <c r="I18" i="10"/>
  <c r="I19" i="10" s="1"/>
  <c r="I14" i="8"/>
  <c r="I17" i="8" s="1"/>
  <c r="G31" i="11"/>
  <c r="G21" i="1" s="1"/>
  <c r="E18" i="4"/>
  <c r="H18" i="4" s="1"/>
  <c r="E13" i="4"/>
  <c r="H13" i="4" s="1"/>
  <c r="F34" i="2"/>
  <c r="F29" i="2"/>
  <c r="F12" i="2"/>
  <c r="F12" i="6"/>
  <c r="E12" i="2"/>
  <c r="E32" i="2"/>
  <c r="H32" i="2" s="1"/>
  <c r="D18" i="2"/>
  <c r="E18" i="3"/>
  <c r="E19" i="3" s="1"/>
  <c r="E12" i="3"/>
  <c r="H12" i="3" s="1"/>
  <c r="E13" i="3"/>
  <c r="H13" i="3" s="1"/>
  <c r="H8" i="3"/>
  <c r="D9" i="3"/>
  <c r="G12" i="10"/>
  <c r="H8" i="10"/>
  <c r="D9" i="10"/>
  <c r="D10" i="10"/>
  <c r="E12" i="9"/>
  <c r="E14" i="8"/>
  <c r="E17" i="8" s="1"/>
  <c r="E7" i="9"/>
  <c r="E15" i="9" s="1"/>
  <c r="L10" i="3"/>
  <c r="L11" i="3"/>
  <c r="L9" i="3"/>
  <c r="L14" i="3" s="1"/>
  <c r="L9" i="10"/>
  <c r="L10" i="10"/>
  <c r="I38" i="8"/>
  <c r="F14" i="8"/>
  <c r="F17" i="8" s="1"/>
  <c r="F12" i="9"/>
  <c r="L31" i="4"/>
  <c r="L23" i="6"/>
  <c r="L32" i="2"/>
  <c r="L29" i="2"/>
  <c r="L33" i="2"/>
  <c r="L30" i="2"/>
  <c r="L34" i="2"/>
  <c r="E38" i="8"/>
  <c r="F38" i="8"/>
  <c r="L7" i="8"/>
  <c r="G38" i="8"/>
  <c r="I8" i="9"/>
  <c r="F7" i="9"/>
  <c r="F15" i="9" s="1"/>
  <c r="G9" i="10"/>
  <c r="G14" i="10" s="1"/>
  <c r="G28" i="10" s="1"/>
  <c r="G17" i="9" s="1"/>
  <c r="G10" i="10"/>
  <c r="G11" i="10"/>
  <c r="G7" i="9"/>
  <c r="G15" i="9" s="1"/>
  <c r="G14" i="8"/>
  <c r="G17" i="8" s="1"/>
  <c r="G12" i="9"/>
  <c r="D15" i="13"/>
  <c r="D18" i="13" s="1"/>
  <c r="D34" i="13"/>
  <c r="D36" i="13" s="1"/>
  <c r="D16" i="13"/>
  <c r="D19" i="13" s="1"/>
  <c r="L15" i="8"/>
  <c r="L8" i="9"/>
  <c r="F39" i="8"/>
  <c r="G39" i="8"/>
  <c r="D39" i="8"/>
  <c r="H39" i="8"/>
  <c r="G15" i="8"/>
  <c r="H15" i="8" s="1"/>
  <c r="D8" i="9"/>
  <c r="H8" i="9" s="1"/>
  <c r="F13" i="9"/>
  <c r="H13" i="9" s="1"/>
  <c r="I31" i="3" l="1"/>
  <c r="I19" i="1" s="1"/>
  <c r="I49" i="2"/>
  <c r="I18" i="1" s="1"/>
  <c r="J49" i="2"/>
  <c r="J18" i="1" s="1"/>
  <c r="L7" i="9"/>
  <c r="L12" i="9"/>
  <c r="L14" i="8"/>
  <c r="L17" i="8" s="1"/>
  <c r="L11" i="8"/>
  <c r="L7" i="1" s="1"/>
  <c r="L8" i="4"/>
  <c r="L30" i="6"/>
  <c r="H9" i="10"/>
  <c r="H14" i="10" s="1"/>
  <c r="H28" i="10" s="1"/>
  <c r="H17" i="9" s="1"/>
  <c r="D14" i="10"/>
  <c r="D28" i="10" s="1"/>
  <c r="D17" i="9" s="1"/>
  <c r="F8" i="2"/>
  <c r="F30" i="6"/>
  <c r="D17" i="8"/>
  <c r="H14" i="8"/>
  <c r="E31" i="4"/>
  <c r="H29" i="4"/>
  <c r="I28" i="10"/>
  <c r="I17" i="9" s="1"/>
  <c r="L19" i="2"/>
  <c r="L49" i="2" s="1"/>
  <c r="L18" i="1" s="1"/>
  <c r="E14" i="4"/>
  <c r="E33" i="4" s="1"/>
  <c r="E20" i="1" s="1"/>
  <c r="J11" i="10"/>
  <c r="J9" i="10"/>
  <c r="J14" i="10" s="1"/>
  <c r="J28" i="10" s="1"/>
  <c r="J17" i="9" s="1"/>
  <c r="J10" i="10"/>
  <c r="G14" i="3"/>
  <c r="D14" i="3"/>
  <c r="J19" i="8"/>
  <c r="J19" i="9"/>
  <c r="J28" i="3"/>
  <c r="J29" i="3" s="1"/>
  <c r="J31" i="3" s="1"/>
  <c r="J19" i="1" s="1"/>
  <c r="J9" i="1"/>
  <c r="H17" i="10"/>
  <c r="H19" i="10" s="1"/>
  <c r="D19" i="10"/>
  <c r="D35" i="2"/>
  <c r="H29" i="2"/>
  <c r="H35" i="2" s="1"/>
  <c r="G33" i="4"/>
  <c r="G20" i="1" s="1"/>
  <c r="K11" i="4"/>
  <c r="K9" i="4"/>
  <c r="K14" i="4" s="1"/>
  <c r="K33" i="4" s="1"/>
  <c r="K20" i="1" s="1"/>
  <c r="K10" i="4"/>
  <c r="J8" i="4"/>
  <c r="J30" i="6"/>
  <c r="F19" i="3"/>
  <c r="E8" i="2"/>
  <c r="E30" i="6"/>
  <c r="G26" i="7"/>
  <c r="F27" i="7"/>
  <c r="F29" i="7" s="1"/>
  <c r="D21" i="13"/>
  <c r="L35" i="2"/>
  <c r="F35" i="2"/>
  <c r="I29" i="4"/>
  <c r="I31" i="4" s="1"/>
  <c r="I12" i="4"/>
  <c r="I17" i="4"/>
  <c r="I30" i="4"/>
  <c r="I18" i="4"/>
  <c r="I13" i="4"/>
  <c r="J13" i="4"/>
  <c r="L9" i="12"/>
  <c r="L21" i="12" s="1"/>
  <c r="L47" i="2" s="1"/>
  <c r="L29" i="1"/>
  <c r="H12" i="9"/>
  <c r="F31" i="4"/>
  <c r="F33" i="4" s="1"/>
  <c r="F20" i="1" s="1"/>
  <c r="H30" i="4"/>
  <c r="K29" i="1"/>
  <c r="K9" i="12"/>
  <c r="K21" i="12" s="1"/>
  <c r="K47" i="2" s="1"/>
  <c r="K49" i="2" s="1"/>
  <c r="K18" i="1" s="1"/>
  <c r="D19" i="2"/>
  <c r="H17" i="2"/>
  <c r="I40" i="8"/>
  <c r="L19" i="3"/>
  <c r="I15" i="9"/>
  <c r="K30" i="6"/>
  <c r="H17" i="3"/>
  <c r="H19" i="3" s="1"/>
  <c r="H9" i="4"/>
  <c r="D14" i="4"/>
  <c r="D33" i="4" s="1"/>
  <c r="D20" i="1" s="1"/>
  <c r="H18" i="3"/>
  <c r="H10" i="3"/>
  <c r="G19" i="9"/>
  <c r="G19" i="8"/>
  <c r="G28" i="3"/>
  <c r="G29" i="3" s="1"/>
  <c r="G9" i="1"/>
  <c r="L16" i="8"/>
  <c r="L9" i="9"/>
  <c r="L14" i="9"/>
  <c r="E19" i="4"/>
  <c r="H17" i="4"/>
  <c r="H19" i="4" s="1"/>
  <c r="G11" i="2"/>
  <c r="G9" i="2"/>
  <c r="G14" i="2" s="1"/>
  <c r="G49" i="2" s="1"/>
  <c r="G18" i="1" s="1"/>
  <c r="G10" i="2"/>
  <c r="E19" i="9"/>
  <c r="E19" i="8"/>
  <c r="E28" i="3"/>
  <c r="E29" i="3" s="1"/>
  <c r="E31" i="3" s="1"/>
  <c r="E19" i="1" s="1"/>
  <c r="E9" i="1"/>
  <c r="H18" i="2"/>
  <c r="I35" i="2"/>
  <c r="H13" i="10"/>
  <c r="H30" i="2"/>
  <c r="K11" i="3"/>
  <c r="K9" i="3"/>
  <c r="K10" i="3"/>
  <c r="K14" i="3" s="1"/>
  <c r="I39" i="8"/>
  <c r="F19" i="8"/>
  <c r="F19" i="9"/>
  <c r="F28" i="3"/>
  <c r="F29" i="3" s="1"/>
  <c r="F9" i="1"/>
  <c r="H10" i="10"/>
  <c r="H12" i="2"/>
  <c r="I19" i="8"/>
  <c r="I19" i="9"/>
  <c r="I28" i="3"/>
  <c r="I29" i="3" s="1"/>
  <c r="I9" i="1"/>
  <c r="L12" i="10"/>
  <c r="L14" i="10" s="1"/>
  <c r="L13" i="10"/>
  <c r="L17" i="10"/>
  <c r="L18" i="10"/>
  <c r="D15" i="9"/>
  <c r="H7" i="9"/>
  <c r="F14" i="10"/>
  <c r="F28" i="10" s="1"/>
  <c r="F17" i="9" s="1"/>
  <c r="F10" i="3"/>
  <c r="F11" i="3"/>
  <c r="H11" i="3" s="1"/>
  <c r="F9" i="3"/>
  <c r="F14" i="3" s="1"/>
  <c r="F31" i="3" s="1"/>
  <c r="F19" i="1" s="1"/>
  <c r="D8" i="2"/>
  <c r="D30" i="6"/>
  <c r="K16" i="8"/>
  <c r="K17" i="8" s="1"/>
  <c r="K9" i="9"/>
  <c r="K15" i="9" s="1"/>
  <c r="K14" i="9"/>
  <c r="J19" i="4"/>
  <c r="H14" i="4"/>
  <c r="J19" i="2"/>
  <c r="G23" i="1" l="1"/>
  <c r="G23" i="9"/>
  <c r="G13" i="1" s="1"/>
  <c r="K19" i="9"/>
  <c r="K19" i="8"/>
  <c r="K9" i="1"/>
  <c r="K28" i="3"/>
  <c r="K29" i="3" s="1"/>
  <c r="K31" i="3" s="1"/>
  <c r="K19" i="1" s="1"/>
  <c r="K23" i="1" s="1"/>
  <c r="E11" i="2"/>
  <c r="E10" i="2"/>
  <c r="E9" i="2"/>
  <c r="E14" i="2" s="1"/>
  <c r="E49" i="2" s="1"/>
  <c r="E18" i="1" s="1"/>
  <c r="E23" i="1" s="1"/>
  <c r="H15" i="9"/>
  <c r="I25" i="9"/>
  <c r="I21" i="9"/>
  <c r="I23" i="9" s="1"/>
  <c r="I13" i="1" s="1"/>
  <c r="I11" i="1"/>
  <c r="J11" i="4"/>
  <c r="J9" i="4"/>
  <c r="J14" i="4" s="1"/>
  <c r="J33" i="4" s="1"/>
  <c r="J20" i="1" s="1"/>
  <c r="J23" i="1" s="1"/>
  <c r="J10" i="4"/>
  <c r="H17" i="8"/>
  <c r="D19" i="8"/>
  <c r="D19" i="9"/>
  <c r="H19" i="9" s="1"/>
  <c r="D28" i="3"/>
  <c r="D9" i="1"/>
  <c r="L19" i="8"/>
  <c r="L19" i="9"/>
  <c r="L28" i="3"/>
  <c r="L29" i="3" s="1"/>
  <c r="L31" i="3" s="1"/>
  <c r="L19" i="1" s="1"/>
  <c r="L23" i="1" s="1"/>
  <c r="L9" i="1"/>
  <c r="D11" i="2"/>
  <c r="D14" i="2"/>
  <c r="D49" i="2" s="1"/>
  <c r="D18" i="1" s="1"/>
  <c r="D10" i="2"/>
  <c r="H8" i="2"/>
  <c r="D9" i="2"/>
  <c r="G25" i="9"/>
  <c r="G11" i="1"/>
  <c r="G21" i="9"/>
  <c r="H19" i="2"/>
  <c r="H26" i="7"/>
  <c r="I26" i="7" s="1"/>
  <c r="G27" i="7"/>
  <c r="I14" i="4"/>
  <c r="I33" i="4" s="1"/>
  <c r="I20" i="1" s="1"/>
  <c r="I23" i="1" s="1"/>
  <c r="H9" i="3"/>
  <c r="H14" i="3" s="1"/>
  <c r="L19" i="10"/>
  <c r="L28" i="10" s="1"/>
  <c r="L17" i="9" s="1"/>
  <c r="F21" i="9"/>
  <c r="F23" i="9" s="1"/>
  <c r="F13" i="1" s="1"/>
  <c r="F25" i="9"/>
  <c r="F11" i="1"/>
  <c r="E25" i="9"/>
  <c r="E21" i="9"/>
  <c r="E23" i="9" s="1"/>
  <c r="E13" i="1" s="1"/>
  <c r="E11" i="1"/>
  <c r="I19" i="4"/>
  <c r="J25" i="9"/>
  <c r="J21" i="9"/>
  <c r="J23" i="9" s="1"/>
  <c r="J13" i="1" s="1"/>
  <c r="J11" i="1"/>
  <c r="G31" i="3"/>
  <c r="G19" i="1" s="1"/>
  <c r="H31" i="4"/>
  <c r="H33" i="4" s="1"/>
  <c r="H20" i="1" s="1"/>
  <c r="F11" i="2"/>
  <c r="F9" i="2"/>
  <c r="F14" i="2" s="1"/>
  <c r="F49" i="2" s="1"/>
  <c r="F18" i="1" s="1"/>
  <c r="F23" i="1" s="1"/>
  <c r="F10" i="2"/>
  <c r="L11" i="4"/>
  <c r="L9" i="4"/>
  <c r="L10" i="4"/>
  <c r="L14" i="4" s="1"/>
  <c r="L33" i="4" s="1"/>
  <c r="L20" i="1" s="1"/>
  <c r="L15" i="9"/>
  <c r="J26" i="7" l="1"/>
  <c r="I27" i="7"/>
  <c r="I29" i="7" s="1"/>
  <c r="K25" i="9"/>
  <c r="K21" i="9"/>
  <c r="K23" i="9" s="1"/>
  <c r="K13" i="1" s="1"/>
  <c r="K11" i="1"/>
  <c r="J26" i="9"/>
  <c r="J27" i="9"/>
  <c r="H9" i="2"/>
  <c r="H11" i="2"/>
  <c r="L25" i="9"/>
  <c r="L11" i="1"/>
  <c r="L21" i="9"/>
  <c r="D21" i="9"/>
  <c r="H21" i="9" s="1"/>
  <c r="D25" i="9"/>
  <c r="D11" i="1"/>
  <c r="D15" i="1" s="1"/>
  <c r="I26" i="9"/>
  <c r="I27" i="9" s="1"/>
  <c r="F26" i="9"/>
  <c r="F27" i="9"/>
  <c r="H18" i="1"/>
  <c r="H19" i="8"/>
  <c r="H9" i="1"/>
  <c r="L23" i="9"/>
  <c r="L13" i="1" s="1"/>
  <c r="E15" i="1"/>
  <c r="E25" i="1" s="1"/>
  <c r="E7" i="7" s="1"/>
  <c r="E14" i="7" s="1"/>
  <c r="E31" i="7" s="1"/>
  <c r="G27" i="9"/>
  <c r="G26" i="9"/>
  <c r="E27" i="9"/>
  <c r="E26" i="9"/>
  <c r="H14" i="2"/>
  <c r="H49" i="2" s="1"/>
  <c r="H23" i="9"/>
  <c r="H13" i="1" s="1"/>
  <c r="J15" i="1"/>
  <c r="J25" i="1" s="1"/>
  <c r="K32" i="1"/>
  <c r="J34" i="1"/>
  <c r="J33" i="1"/>
  <c r="F15" i="1"/>
  <c r="F25" i="1" s="1"/>
  <c r="F7" i="7" s="1"/>
  <c r="F14" i="7" s="1"/>
  <c r="F31" i="7" s="1"/>
  <c r="G29" i="7"/>
  <c r="H27" i="7"/>
  <c r="H29" i="7" s="1"/>
  <c r="G15" i="1"/>
  <c r="G25" i="1" s="1"/>
  <c r="G7" i="7" s="1"/>
  <c r="G14" i="7" s="1"/>
  <c r="H10" i="2"/>
  <c r="H28" i="3"/>
  <c r="H29" i="3" s="1"/>
  <c r="H31" i="3" s="1"/>
  <c r="H19" i="1" s="1"/>
  <c r="D29" i="3"/>
  <c r="D31" i="3" s="1"/>
  <c r="D19" i="1" s="1"/>
  <c r="D23" i="1" s="1"/>
  <c r="I34" i="1"/>
  <c r="I15" i="1"/>
  <c r="I25" i="1" s="1"/>
  <c r="I33" i="1"/>
  <c r="J32" i="1"/>
  <c r="D23" i="9"/>
  <c r="D13" i="1" s="1"/>
  <c r="D25" i="1" l="1"/>
  <c r="D7" i="7" s="1"/>
  <c r="D14" i="7" s="1"/>
  <c r="D31" i="7" s="1"/>
  <c r="H11" i="1"/>
  <c r="H25" i="9"/>
  <c r="D27" i="9"/>
  <c r="D26" i="9"/>
  <c r="I7" i="7"/>
  <c r="E7" i="13"/>
  <c r="J7" i="7"/>
  <c r="F7" i="13"/>
  <c r="K15" i="1"/>
  <c r="K25" i="1" s="1"/>
  <c r="L32" i="1"/>
  <c r="K34" i="1"/>
  <c r="J27" i="7"/>
  <c r="J29" i="7" s="1"/>
  <c r="K26" i="7"/>
  <c r="L15" i="1"/>
  <c r="L25" i="1" s="1"/>
  <c r="L33" i="1"/>
  <c r="L34" i="1"/>
  <c r="K26" i="9"/>
  <c r="K27" i="9" s="1"/>
  <c r="L26" i="9"/>
  <c r="L27" i="9"/>
  <c r="G31" i="7"/>
  <c r="H23" i="1"/>
  <c r="H27" i="9" l="1"/>
  <c r="H26" i="9"/>
  <c r="H7" i="13"/>
  <c r="L7" i="7"/>
  <c r="K33" i="1"/>
  <c r="H15" i="1"/>
  <c r="H25" i="1" s="1"/>
  <c r="H33" i="1"/>
  <c r="I32" i="1"/>
  <c r="H34" i="1"/>
  <c r="K7" i="7"/>
  <c r="G7" i="13"/>
  <c r="G34" i="7"/>
  <c r="K27" i="7"/>
  <c r="K29" i="7" s="1"/>
  <c r="L26" i="7"/>
  <c r="L27" i="7" s="1"/>
  <c r="L29" i="7" s="1"/>
  <c r="D34" i="7"/>
  <c r="E32" i="7" s="1"/>
  <c r="E34" i="7" s="1"/>
  <c r="F32" i="7" s="1"/>
  <c r="F34" i="7" s="1"/>
  <c r="G32" i="7" s="1"/>
  <c r="H31" i="7"/>
  <c r="H34" i="7" s="1"/>
  <c r="D26" i="13" l="1"/>
  <c r="I7" i="13" s="1"/>
  <c r="E29" i="13" s="1"/>
  <c r="H29" i="13"/>
  <c r="D39" i="13" s="1"/>
  <c r="I32" i="7"/>
  <c r="H30" i="1"/>
  <c r="G29" i="13"/>
  <c r="F29" i="13"/>
  <c r="G30" i="13" s="1"/>
  <c r="D7" i="13"/>
  <c r="D29" i="13" s="1"/>
  <c r="H7" i="7"/>
  <c r="H10" i="7" l="1"/>
  <c r="H11" i="7"/>
  <c r="H12" i="7" s="1"/>
  <c r="H14" i="7"/>
  <c r="D38" i="13"/>
  <c r="G31" i="13"/>
  <c r="H31" i="13"/>
  <c r="F31" i="13"/>
  <c r="E31" i="13"/>
  <c r="E30" i="13"/>
  <c r="H30" i="13"/>
  <c r="F30" i="13"/>
  <c r="I10" i="7" l="1"/>
  <c r="I11" i="7"/>
  <c r="I12" i="7" s="1"/>
  <c r="I14" i="7" s="1"/>
  <c r="I31" i="7" s="1"/>
  <c r="I34" i="7" s="1"/>
  <c r="J32" i="7" l="1"/>
  <c r="I30" i="1"/>
  <c r="J10" i="7"/>
  <c r="J11" i="7"/>
  <c r="J12" i="7" s="1"/>
  <c r="J14" i="7" s="1"/>
  <c r="J31" i="7" s="1"/>
  <c r="J34" i="7" s="1"/>
  <c r="K32" i="7" l="1"/>
  <c r="J30" i="1"/>
  <c r="K10" i="7"/>
  <c r="K11" i="7"/>
  <c r="K12" i="7" s="1"/>
  <c r="K14" i="7" s="1"/>
  <c r="K31" i="7" s="1"/>
  <c r="K34" i="7" s="1"/>
  <c r="K30" i="1" l="1"/>
  <c r="L32" i="7"/>
  <c r="L10" i="7"/>
  <c r="L11" i="7"/>
  <c r="L12" i="7" s="1"/>
  <c r="L14" i="7" s="1"/>
  <c r="L31" i="7" s="1"/>
  <c r="L34" i="7" s="1"/>
  <c r="L30" i="1" s="1"/>
</calcChain>
</file>

<file path=xl/sharedStrings.xml><?xml version="1.0" encoding="utf-8"?>
<sst xmlns="http://schemas.openxmlformats.org/spreadsheetml/2006/main" count="663" uniqueCount="252">
  <si>
    <t>Total Revenue</t>
  </si>
  <si>
    <t>Sales Revenue</t>
  </si>
  <si>
    <t>Cost of Sales</t>
  </si>
  <si>
    <t>Gross Margin</t>
  </si>
  <si>
    <t>Operating Expenses</t>
  </si>
  <si>
    <t>G&amp;A</t>
  </si>
  <si>
    <t>Sales &amp; Marketing</t>
  </si>
  <si>
    <t>R&amp;D</t>
  </si>
  <si>
    <t>Operating Profit/(Loss)</t>
  </si>
  <si>
    <t>Other Income</t>
  </si>
  <si>
    <t>Grants</t>
  </si>
  <si>
    <t>Profit &amp; Loss</t>
  </si>
  <si>
    <t>Q1</t>
  </si>
  <si>
    <t>Q2</t>
  </si>
  <si>
    <t>Q3</t>
  </si>
  <si>
    <t>Q4</t>
  </si>
  <si>
    <t>Year 1</t>
  </si>
  <si>
    <t>Year 2</t>
  </si>
  <si>
    <t>Year 3</t>
  </si>
  <si>
    <t>Year 4</t>
  </si>
  <si>
    <t>Year 5</t>
  </si>
  <si>
    <t>Unit Sales</t>
  </si>
  <si>
    <t>Assumptions</t>
  </si>
  <si>
    <t>General &amp; Administrative</t>
  </si>
  <si>
    <t>Staff Costs</t>
  </si>
  <si>
    <t>Salaries</t>
  </si>
  <si>
    <t>NI</t>
  </si>
  <si>
    <t>Pension</t>
  </si>
  <si>
    <t>Life Insurance</t>
  </si>
  <si>
    <t>Private health insurance</t>
  </si>
  <si>
    <t>Recruitment costs</t>
  </si>
  <si>
    <t>Total</t>
  </si>
  <si>
    <t>Travel &amp; Subsistence</t>
  </si>
  <si>
    <t>Travel</t>
  </si>
  <si>
    <t>Subsistence</t>
  </si>
  <si>
    <t>Insurances</t>
  </si>
  <si>
    <t>Keyman</t>
  </si>
  <si>
    <t>Commercial</t>
  </si>
  <si>
    <t>Directors</t>
  </si>
  <si>
    <t>Public liability</t>
  </si>
  <si>
    <t>Office Costs</t>
  </si>
  <si>
    <t>Stationary</t>
  </si>
  <si>
    <t>Postage</t>
  </si>
  <si>
    <t>Telecoms</t>
  </si>
  <si>
    <t>IT</t>
  </si>
  <si>
    <t>Sundry</t>
  </si>
  <si>
    <t>Equipment</t>
  </si>
  <si>
    <t>General Expenses</t>
  </si>
  <si>
    <t>Board costs</t>
  </si>
  <si>
    <t>Consultants</t>
  </si>
  <si>
    <t>Legal Fees</t>
  </si>
  <si>
    <t>Auditors/Accountants</t>
  </si>
  <si>
    <t>Corporate PR/IP</t>
  </si>
  <si>
    <t>Patent Fees &amp; Expences</t>
  </si>
  <si>
    <t>Facilities</t>
  </si>
  <si>
    <t>Total General &amp; Administrative</t>
  </si>
  <si>
    <t>Headcount</t>
  </si>
  <si>
    <t>Sales and Marketing</t>
  </si>
  <si>
    <t>Research &amp; Development</t>
  </si>
  <si>
    <t>General &amp; Adminstrative</t>
  </si>
  <si>
    <t>CEO</t>
  </si>
  <si>
    <t>CFO</t>
  </si>
  <si>
    <t>Book Keeper</t>
  </si>
  <si>
    <t>Administrator</t>
  </si>
  <si>
    <t>CEO's PA</t>
  </si>
  <si>
    <t>Marketing Director</t>
  </si>
  <si>
    <t>Sales Manager</t>
  </si>
  <si>
    <t>Sales Persons</t>
  </si>
  <si>
    <t>Sales Administrator</t>
  </si>
  <si>
    <t>Technical Director</t>
  </si>
  <si>
    <t>Senior Design Engineers</t>
  </si>
  <si>
    <t>Design Engineers</t>
  </si>
  <si>
    <t>Manufacturing</t>
  </si>
  <si>
    <t>Director of Operations</t>
  </si>
  <si>
    <t>Quality Manager</t>
  </si>
  <si>
    <t>Engineers</t>
  </si>
  <si>
    <t>Headcount Total</t>
  </si>
  <si>
    <t>£k per year</t>
  </si>
  <si>
    <t>Salaries Total</t>
  </si>
  <si>
    <t>Rent</t>
  </si>
  <si>
    <t>Deposits</t>
  </si>
  <si>
    <t>Rates</t>
  </si>
  <si>
    <t>Electricity</t>
  </si>
  <si>
    <t>Water &amp; Waste</t>
  </si>
  <si>
    <t>Gas</t>
  </si>
  <si>
    <t>Maintenance</t>
  </si>
  <si>
    <t>Security</t>
  </si>
  <si>
    <t>Total Facilities</t>
  </si>
  <si>
    <t>Capital Expenditure</t>
  </si>
  <si>
    <t>Cost of Goods</t>
  </si>
  <si>
    <t>Tooling</t>
  </si>
  <si>
    <t>Test Equipment</t>
  </si>
  <si>
    <t>QC Equipment</t>
  </si>
  <si>
    <t>IT Hardware</t>
  </si>
  <si>
    <t>IT Software</t>
  </si>
  <si>
    <t>Networking</t>
  </si>
  <si>
    <t>Miscellaneous</t>
  </si>
  <si>
    <t>Car lease</t>
  </si>
  <si>
    <t>Exhibition Equipment</t>
  </si>
  <si>
    <t>Development Software</t>
  </si>
  <si>
    <t>Development Equipment</t>
  </si>
  <si>
    <t>Capex Total</t>
  </si>
  <si>
    <t>Capex</t>
  </si>
  <si>
    <t>Marketing</t>
  </si>
  <si>
    <t>General inc. Internet</t>
  </si>
  <si>
    <t>Product</t>
  </si>
  <si>
    <t>Exhibitions</t>
  </si>
  <si>
    <t>Sales</t>
  </si>
  <si>
    <t>Commissions</t>
  </si>
  <si>
    <t>Total Sales &amp; Marketing</t>
  </si>
  <si>
    <t>Project costs</t>
  </si>
  <si>
    <t>Advisory panel</t>
  </si>
  <si>
    <t>Consultancy</t>
  </si>
  <si>
    <t>Trials</t>
  </si>
  <si>
    <t>Technical</t>
  </si>
  <si>
    <t>Consumables</t>
  </si>
  <si>
    <t>Subscriptions</t>
  </si>
  <si>
    <t>Total Research &amp; Development</t>
  </si>
  <si>
    <t>General</t>
  </si>
  <si>
    <t>Systems Development</t>
  </si>
  <si>
    <t>Quality Control</t>
  </si>
  <si>
    <t>Production Tech. Development</t>
  </si>
  <si>
    <t>Production Consultants</t>
  </si>
  <si>
    <t>Cash Flow</t>
  </si>
  <si>
    <t>Sales Summary</t>
  </si>
  <si>
    <t>Build Costs</t>
  </si>
  <si>
    <t>Warranty Costs</t>
  </si>
  <si>
    <t>Total Cost of Sales</t>
  </si>
  <si>
    <t>Total Unit Sales</t>
  </si>
  <si>
    <t>Operating Profit/Loss</t>
  </si>
  <si>
    <t>From P&amp;L 21</t>
  </si>
  <si>
    <t>Cash Outflow before Financing</t>
  </si>
  <si>
    <t>Financing</t>
  </si>
  <si>
    <t>Equity Investment</t>
  </si>
  <si>
    <t>Fundraising costs</t>
  </si>
  <si>
    <t>Change in Cash Balance</t>
  </si>
  <si>
    <t>Balance brought forward</t>
  </si>
  <si>
    <t xml:space="preserve">Cash Balance </t>
  </si>
  <si>
    <t>Taxation Paid</t>
  </si>
  <si>
    <t>Net Cash Inflow from Financing</t>
  </si>
  <si>
    <t>Cash Balance</t>
  </si>
  <si>
    <t>R&amp;D as % of sales</t>
  </si>
  <si>
    <t>Sales Growth %</t>
  </si>
  <si>
    <t>Gross Margin %</t>
  </si>
  <si>
    <t>Royalties</t>
  </si>
  <si>
    <t>From Sales Summary</t>
  </si>
  <si>
    <t>From Cost of Sales</t>
  </si>
  <si>
    <t>From G&amp;A</t>
  </si>
  <si>
    <t>From S&amp;M</t>
  </si>
  <si>
    <t>From R&amp;D</t>
  </si>
  <si>
    <t>From Capex</t>
  </si>
  <si>
    <t>From Headcount</t>
  </si>
  <si>
    <t>From Facilities</t>
  </si>
  <si>
    <t>NewCo Ltd.</t>
  </si>
  <si>
    <t>From Salaries</t>
  </si>
  <si>
    <t>Turnover</t>
  </si>
  <si>
    <t>Product 1</t>
  </si>
  <si>
    <t>Product 2</t>
  </si>
  <si>
    <t>Product 3</t>
  </si>
  <si>
    <t>Installation/delivery</t>
  </si>
  <si>
    <t>Sales uptake</t>
  </si>
  <si>
    <t>Total Market Size</t>
  </si>
  <si>
    <t>Aware %</t>
  </si>
  <si>
    <t>Interest %</t>
  </si>
  <si>
    <t>Decide %</t>
  </si>
  <si>
    <t>Achieve %</t>
  </si>
  <si>
    <t>per unit sale</t>
  </si>
  <si>
    <t>Sales Penetration Rate</t>
  </si>
  <si>
    <t>Product Launch Date</t>
  </si>
  <si>
    <t>Year 1 Q1</t>
  </si>
  <si>
    <t>Year 1 Q2</t>
  </si>
  <si>
    <t>Year 1 Q3</t>
  </si>
  <si>
    <t>Year 1 Q4</t>
  </si>
  <si>
    <t>select</t>
  </si>
  <si>
    <t>Total Sales</t>
  </si>
  <si>
    <t>Name:</t>
  </si>
  <si>
    <t>of sales revenue</t>
  </si>
  <si>
    <t>of total revenue</t>
  </si>
  <si>
    <t>recruitment cost</t>
  </si>
  <si>
    <t>per employee per year</t>
  </si>
  <si>
    <t>of salaries</t>
  </si>
  <si>
    <t>per £1k of 4 times salary</t>
  </si>
  <si>
    <t>Total Operations</t>
  </si>
  <si>
    <t>Option 1</t>
  </si>
  <si>
    <t>Managed Offices (cost per desk)</t>
  </si>
  <si>
    <t>Option 2</t>
  </si>
  <si>
    <t>set to 0 if using option 2 below</t>
  </si>
  <si>
    <t>-</t>
  </si>
  <si>
    <t>Corporation Tax</t>
  </si>
  <si>
    <t>Loss to carry forward</t>
  </si>
  <si>
    <t>Taxable Profit</t>
  </si>
  <si>
    <t>of Investment</t>
  </si>
  <si>
    <t>D10 = any historic losses</t>
  </si>
  <si>
    <t>Loans</t>
  </si>
  <si>
    <t>Interest paid</t>
  </si>
  <si>
    <t>Net debt</t>
  </si>
  <si>
    <t>of Net debt p.a.</t>
  </si>
  <si>
    <t>D32 = any historic balance</t>
  </si>
  <si>
    <t>Valuation</t>
  </si>
  <si>
    <t>Free Cash Flow</t>
  </si>
  <si>
    <t>Terminal</t>
  </si>
  <si>
    <t>WACC</t>
  </si>
  <si>
    <t>Risk Free rate</t>
  </si>
  <si>
    <t>Bank Base Rate</t>
  </si>
  <si>
    <t>beta</t>
  </si>
  <si>
    <t>stability (&gt;1 is more unstable)</t>
  </si>
  <si>
    <t>tax rate</t>
  </si>
  <si>
    <t>Corporation Tax rate</t>
  </si>
  <si>
    <t>risk premium</t>
  </si>
  <si>
    <t>Risk uplift</t>
  </si>
  <si>
    <t>equity proportion</t>
  </si>
  <si>
    <t>Proportion of required cash as equity</t>
  </si>
  <si>
    <t>debt proportion</t>
  </si>
  <si>
    <t>Cost of debt</t>
  </si>
  <si>
    <t>Cost of equity</t>
  </si>
  <si>
    <t>Discount Rate (WACC)</t>
  </si>
  <si>
    <t>Your discount rate</t>
  </si>
  <si>
    <t>Terminal Value</t>
  </si>
  <si>
    <t>Long term growth rate</t>
  </si>
  <si>
    <t>sustainable growth inpertuity</t>
  </si>
  <si>
    <t>Terminal value</t>
  </si>
  <si>
    <t>Enterprise Values</t>
  </si>
  <si>
    <t>today</t>
  </si>
  <si>
    <t>Value</t>
  </si>
  <si>
    <t>growth</t>
  </si>
  <si>
    <t>RoI</t>
  </si>
  <si>
    <t>Investment requirement</t>
  </si>
  <si>
    <t>Return required</t>
  </si>
  <si>
    <t>Assumpions</t>
  </si>
  <si>
    <t>£,000</t>
  </si>
  <si>
    <t>from P&amp;L</t>
  </si>
  <si>
    <t>Initial Investment Price</t>
  </si>
  <si>
    <t>Year 1 equity investment required</t>
  </si>
  <si>
    <t>times investment by year 5</t>
  </si>
  <si>
    <t>Value required</t>
  </si>
  <si>
    <t>of equity is the current value of the investment required</t>
  </si>
  <si>
    <t>of equity is the proportion required to allow investor to make desired return by year 5</t>
  </si>
  <si>
    <t>expected return rate required</t>
  </si>
  <si>
    <t>Range of Equity Cost of Investment</t>
  </si>
  <si>
    <t>Soup</t>
  </si>
  <si>
    <t>Baby Food</t>
  </si>
  <si>
    <t>Preserves</t>
  </si>
  <si>
    <t>total</t>
  </si>
  <si>
    <t>$000's</t>
  </si>
  <si>
    <t>Manufacturing Dept.</t>
  </si>
  <si>
    <t>Gross Margin (%)</t>
  </si>
  <si>
    <t>Revenue</t>
  </si>
  <si>
    <t xml:space="preserve"> </t>
  </si>
  <si>
    <t>Loan capital received</t>
  </si>
  <si>
    <t>Loan capital repaid</t>
  </si>
  <si>
    <t>Projects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</si>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</sst>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_-&quot;£&quot;* #,##0_-;\-&quot;£&quot;* #,##0_-;_-&quot;£&quot;* &quot;-&quot;??_-;_-@_-"/>
    <numFmt numFmtId="168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4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DDE5"/>
        <bgColor indexed="64"/>
      </patternFill>
    </fill>
    <fill>
      <patternFill patternType="solid">
        <fgColor rgb="FF0E547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/>
    <xf numFmtId="3" fontId="0" fillId="2" borderId="0" xfId="0" applyNumberFormat="1" applyFill="1"/>
    <xf numFmtId="3" fontId="0" fillId="2" borderId="1" xfId="0" applyNumberFormat="1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3" fillId="2" borderId="0" xfId="0" applyFont="1" applyFill="1"/>
    <xf numFmtId="3" fontId="0" fillId="2" borderId="2" xfId="0" applyNumberFormat="1" applyFill="1" applyBorder="1"/>
    <xf numFmtId="3" fontId="0" fillId="2" borderId="3" xfId="0" applyNumberFormat="1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17" xfId="0" applyNumberFormat="1" applyFill="1" applyBorder="1"/>
    <xf numFmtId="3" fontId="0" fillId="2" borderId="0" xfId="0" applyNumberFormat="1" applyFill="1" applyBorder="1"/>
    <xf numFmtId="3" fontId="0" fillId="2" borderId="15" xfId="0" applyNumberFormat="1" applyFill="1" applyBorder="1"/>
    <xf numFmtId="9" fontId="0" fillId="2" borderId="1" xfId="3" applyFont="1" applyFill="1" applyBorder="1" applyAlignment="1">
      <alignment horizontal="right"/>
    </xf>
    <xf numFmtId="9" fontId="0" fillId="2" borderId="0" xfId="3" applyFont="1" applyFill="1" applyBorder="1" applyAlignment="1">
      <alignment horizontal="right"/>
    </xf>
    <xf numFmtId="9" fontId="0" fillId="2" borderId="15" xfId="3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9" fontId="0" fillId="2" borderId="6" xfId="3" applyFont="1" applyFill="1" applyBorder="1" applyAlignment="1">
      <alignment horizontal="right"/>
    </xf>
    <xf numFmtId="9" fontId="0" fillId="2" borderId="7" xfId="3" applyFont="1" applyFill="1" applyBorder="1" applyAlignment="1">
      <alignment horizontal="right"/>
    </xf>
    <xf numFmtId="9" fontId="0" fillId="2" borderId="16" xfId="3" applyFont="1" applyFill="1" applyBorder="1" applyAlignment="1">
      <alignment horizontal="right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3" fontId="0" fillId="2" borderId="7" xfId="0" applyNumberFormat="1" applyFill="1" applyBorder="1"/>
    <xf numFmtId="3" fontId="0" fillId="2" borderId="6" xfId="0" applyNumberForma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6" fillId="3" borderId="0" xfId="0" applyFont="1" applyFill="1" applyAlignment="1">
      <alignment horizontal="left" vertical="center"/>
    </xf>
    <xf numFmtId="3" fontId="0" fillId="4" borderId="8" xfId="0" applyNumberFormat="1" applyFill="1" applyBorder="1"/>
    <xf numFmtId="9" fontId="0" fillId="4" borderId="8" xfId="0" applyNumberFormat="1" applyFill="1" applyBorder="1" applyAlignment="1">
      <alignment horizontal="right"/>
    </xf>
    <xf numFmtId="3" fontId="0" fillId="4" borderId="12" xfId="0" applyNumberFormat="1" applyFill="1" applyBorder="1"/>
    <xf numFmtId="0" fontId="0" fillId="4" borderId="8" xfId="0" applyFill="1" applyBorder="1"/>
    <xf numFmtId="0" fontId="0" fillId="4" borderId="12" xfId="0" applyFill="1" applyBorder="1"/>
    <xf numFmtId="10" fontId="0" fillId="4" borderId="8" xfId="0" applyNumberFormat="1" applyFill="1" applyBorder="1" applyAlignment="1">
      <alignment horizontal="righ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66" fontId="0" fillId="2" borderId="0" xfId="0" applyNumberFormat="1" applyFill="1"/>
    <xf numFmtId="9" fontId="0" fillId="2" borderId="0" xfId="0" applyNumberFormat="1" applyFill="1"/>
    <xf numFmtId="9" fontId="0" fillId="2" borderId="0" xfId="0" applyNumberFormat="1" applyFill="1" applyBorder="1"/>
    <xf numFmtId="168" fontId="0" fillId="2" borderId="0" xfId="3" applyNumberFormat="1" applyFont="1" applyFill="1"/>
    <xf numFmtId="168" fontId="0" fillId="2" borderId="0" xfId="0" applyNumberFormat="1" applyFill="1"/>
    <xf numFmtId="166" fontId="0" fillId="2" borderId="0" xfId="1" applyNumberFormat="1" applyFont="1" applyFill="1"/>
    <xf numFmtId="166" fontId="0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6" fontId="2" fillId="2" borderId="0" xfId="1" applyNumberFormat="1" applyFont="1" applyFill="1"/>
    <xf numFmtId="9" fontId="0" fillId="2" borderId="0" xfId="3" applyFont="1" applyFill="1"/>
    <xf numFmtId="165" fontId="0" fillId="2" borderId="0" xfId="1" applyFont="1" applyFill="1"/>
    <xf numFmtId="0" fontId="2" fillId="2" borderId="0" xfId="0" applyFont="1" applyFill="1" applyAlignment="1">
      <alignment horizontal="left"/>
    </xf>
    <xf numFmtId="166" fontId="0" fillId="2" borderId="0" xfId="1" applyNumberFormat="1" applyFont="1" applyFill="1" applyBorder="1"/>
    <xf numFmtId="9" fontId="2" fillId="2" borderId="0" xfId="3" applyFont="1" applyFill="1"/>
    <xf numFmtId="166" fontId="0" fillId="4" borderId="8" xfId="1" applyNumberFormat="1" applyFont="1" applyFill="1" applyBorder="1"/>
    <xf numFmtId="9" fontId="0" fillId="4" borderId="8" xfId="0" applyNumberFormat="1" applyFill="1" applyBorder="1"/>
    <xf numFmtId="3" fontId="0" fillId="2" borderId="0" xfId="1" applyNumberFormat="1" applyFont="1" applyFill="1"/>
    <xf numFmtId="3" fontId="0" fillId="2" borderId="1" xfId="1" applyNumberFormat="1" applyFont="1" applyFill="1" applyBorder="1"/>
    <xf numFmtId="1" fontId="0" fillId="2" borderId="0" xfId="0" applyNumberFormat="1" applyFill="1" applyBorder="1"/>
    <xf numFmtId="3" fontId="2" fillId="2" borderId="2" xfId="1" applyNumberFormat="1" applyFont="1" applyFill="1" applyBorder="1"/>
    <xf numFmtId="3" fontId="2" fillId="2" borderId="3" xfId="1" applyNumberFormat="1" applyFont="1" applyFill="1" applyBorder="1"/>
    <xf numFmtId="0" fontId="3" fillId="2" borderId="0" xfId="0" applyFont="1" applyFill="1" applyAlignment="1">
      <alignment horizontal="right"/>
    </xf>
    <xf numFmtId="3" fontId="0" fillId="2" borderId="0" xfId="1" applyNumberFormat="1" applyFont="1" applyFill="1" applyBorder="1"/>
    <xf numFmtId="164" fontId="0" fillId="2" borderId="0" xfId="2" applyFont="1" applyFill="1"/>
    <xf numFmtId="3" fontId="0" fillId="2" borderId="7" xfId="1" applyNumberFormat="1" applyFont="1" applyFill="1" applyBorder="1"/>
    <xf numFmtId="3" fontId="0" fillId="2" borderId="6" xfId="1" applyNumberFormat="1" applyFont="1" applyFill="1" applyBorder="1"/>
    <xf numFmtId="3" fontId="0" fillId="2" borderId="9" xfId="1" applyNumberFormat="1" applyFont="1" applyFill="1" applyBorder="1"/>
    <xf numFmtId="0" fontId="0" fillId="2" borderId="7" xfId="0" applyFill="1" applyBorder="1" applyAlignment="1">
      <alignment horizontal="right"/>
    </xf>
    <xf numFmtId="9" fontId="0" fillId="2" borderId="7" xfId="0" applyNumberFormat="1" applyFill="1" applyBorder="1"/>
    <xf numFmtId="3" fontId="0" fillId="2" borderId="10" xfId="1" applyNumberFormat="1" applyFont="1" applyFill="1" applyBorder="1"/>
    <xf numFmtId="0" fontId="5" fillId="2" borderId="0" xfId="0" applyFont="1" applyFill="1"/>
    <xf numFmtId="166" fontId="0" fillId="2" borderId="1" xfId="1" applyNumberFormat="1" applyFont="1" applyFill="1" applyBorder="1" applyAlignment="1">
      <alignment horizontal="right"/>
    </xf>
    <xf numFmtId="9" fontId="0" fillId="2" borderId="1" xfId="3" applyFont="1" applyFill="1" applyBorder="1"/>
    <xf numFmtId="166" fontId="0" fillId="2" borderId="1" xfId="1" applyNumberFormat="1" applyFont="1" applyFill="1" applyBorder="1"/>
    <xf numFmtId="1" fontId="0" fillId="2" borderId="0" xfId="0" applyNumberFormat="1" applyFill="1"/>
    <xf numFmtId="0" fontId="1" fillId="2" borderId="0" xfId="0" applyFont="1" applyFill="1" applyAlignment="1">
      <alignment horizontal="right"/>
    </xf>
    <xf numFmtId="0" fontId="0" fillId="4" borderId="8" xfId="0" applyFill="1" applyBorder="1" applyAlignment="1">
      <alignment horizontal="center"/>
    </xf>
    <xf numFmtId="167" fontId="1" fillId="4" borderId="8" xfId="2" applyNumberFormat="1" applyFont="1" applyFill="1" applyBorder="1"/>
    <xf numFmtId="3" fontId="0" fillId="4" borderId="8" xfId="1" applyNumberFormat="1" applyFont="1" applyFill="1" applyBorder="1"/>
    <xf numFmtId="166" fontId="0" fillId="4" borderId="8" xfId="1" applyNumberFormat="1" applyFont="1" applyFill="1" applyBorder="1" applyAlignment="1">
      <alignment horizontal="center"/>
    </xf>
    <xf numFmtId="9" fontId="0" fillId="4" borderId="12" xfId="0" applyNumberFormat="1" applyFill="1" applyBorder="1"/>
    <xf numFmtId="0" fontId="0" fillId="2" borderId="18" xfId="0" applyFill="1" applyBorder="1"/>
    <xf numFmtId="9" fontId="2" fillId="2" borderId="2" xfId="3" applyFont="1" applyFill="1" applyBorder="1"/>
    <xf numFmtId="9" fontId="2" fillId="2" borderId="3" xfId="3" applyFont="1" applyFill="1" applyBorder="1"/>
    <xf numFmtId="167" fontId="0" fillId="4" borderId="8" xfId="2" applyNumberFormat="1" applyFont="1" applyFill="1" applyBorder="1"/>
    <xf numFmtId="9" fontId="0" fillId="4" borderId="8" xfId="0" applyNumberFormat="1" applyFill="1" applyBorder="1" applyAlignment="1">
      <alignment horizontal="left"/>
    </xf>
    <xf numFmtId="10" fontId="0" fillId="4" borderId="8" xfId="0" applyNumberFormat="1" applyFill="1" applyBorder="1" applyAlignment="1">
      <alignment horizontal="left"/>
    </xf>
    <xf numFmtId="3" fontId="0" fillId="2" borderId="10" xfId="0" applyNumberFormat="1" applyFill="1" applyBorder="1"/>
    <xf numFmtId="167" fontId="0" fillId="4" borderId="8" xfId="2" applyNumberFormat="1" applyFont="1" applyFill="1" applyBorder="1" applyAlignment="1">
      <alignment horizontal="left"/>
    </xf>
    <xf numFmtId="3" fontId="0" fillId="2" borderId="16" xfId="0" applyNumberFormat="1" applyFill="1" applyBorder="1"/>
    <xf numFmtId="9" fontId="1" fillId="4" borderId="8" xfId="0" applyNumberFormat="1" applyFont="1" applyFill="1" applyBorder="1" applyAlignment="1">
      <alignment horizontal="right"/>
    </xf>
    <xf numFmtId="10" fontId="1" fillId="4" borderId="8" xfId="0" applyNumberFormat="1" applyFont="1" applyFill="1" applyBorder="1" applyAlignment="1">
      <alignment horizontal="right"/>
    </xf>
    <xf numFmtId="167" fontId="1" fillId="4" borderId="8" xfId="2" applyNumberFormat="1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4" borderId="8" xfId="0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167" fontId="0" fillId="4" borderId="8" xfId="2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E547F"/>
      <color rgb="FFCFD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Rate</a:t>
            </a:r>
          </a:p>
        </c:rich>
      </c:tx>
      <c:layout>
        <c:manualLayout>
          <c:xMode val="edge"/>
          <c:yMode val="edge"/>
          <c:x val="0.45075367167235225"/>
          <c:y val="3.7384475725097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94044536451195E-2"/>
          <c:y val="0.11215342717529257"/>
          <c:w val="0.87441286034800569"/>
          <c:h val="0.714978098242490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'Sales Summary'!$D$35:$H$35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'Sales Summary'!$D$36:$H$36</c:f>
              <c:numCache>
                <c:formatCode>0%</c:formatCode>
                <c:ptCount val="5"/>
                <c:pt idx="0">
                  <c:v>0.15</c:v>
                </c:pt>
                <c:pt idx="1">
                  <c:v>0.22</c:v>
                </c:pt>
                <c:pt idx="2">
                  <c:v>0.26</c:v>
                </c:pt>
                <c:pt idx="3">
                  <c:v>0.22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C8-894B-ADFC-757310E89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025935"/>
        <c:axId val="1"/>
      </c:lineChart>
      <c:catAx>
        <c:axId val="1436025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025935"/>
        <c:crosses val="autoZero"/>
        <c:crossBetween val="between"/>
      </c:valAx>
      <c:spPr>
        <a:solidFill>
          <a:srgbClr val="CFDDE5"/>
        </a:solidFill>
        <a:ln w="12700">
          <a:solidFill>
            <a:srgbClr val="0E547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2061633</xdr:colOff>
      <xdr:row>43</xdr:row>
      <xdr:rowOff>80434</xdr:rowOff>
    </xdr:from>
    <xdr:to>
      <xdr:col>9</xdr:col>
      <xdr:colOff>55033</xdr:colOff>
      <xdr:row>59</xdr:row>
      <xdr:rowOff>160866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AEEBB516-9A27-BA45-B8BC-71CF34AD1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zoomScale="150" zoomScaleNormal="150" workbookViewId="0">
      <pane ySplit="1" topLeftCell="A2" activePane="bottomLeft" state="frozen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21" style="1" customWidth="1"/>
    <col min="15" max="15" width="25.6640625" style="1" customWidth="1"/>
    <col min="16" max="16384" width="9.1640625" style="1"/>
  </cols>
  <sheetData>
    <row r="1" spans="1:14" s="32" customFormat="1" ht="30" customHeight="1" x14ac:dyDescent="0.15">
      <c r="B1" s="33" t="s">
        <v>153</v>
      </c>
      <c r="C1" s="33"/>
      <c r="G1" s="33" t="s">
        <v>11</v>
      </c>
    </row>
    <row r="3" spans="1:14" x14ac:dyDescent="0.15">
      <c r="E3" s="107" t="s">
        <v>16</v>
      </c>
      <c r="F3" s="107"/>
      <c r="H3" s="2"/>
    </row>
    <row r="4" spans="1:14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4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4" x14ac:dyDescent="0.15">
      <c r="H6" s="2"/>
    </row>
    <row r="7" spans="1:14" x14ac:dyDescent="0.15">
      <c r="A7" s="3">
        <v>1</v>
      </c>
      <c r="B7" s="6" t="s">
        <v>21</v>
      </c>
      <c r="D7" s="7">
        <f>'Sales Summary'!D11</f>
        <v>0</v>
      </c>
      <c r="E7" s="7">
        <f>'Sales Summary'!E11</f>
        <v>0</v>
      </c>
      <c r="F7" s="7">
        <f>'Sales Summary'!F11</f>
        <v>0</v>
      </c>
      <c r="G7" s="7">
        <f>'Sales Summary'!G11</f>
        <v>0</v>
      </c>
      <c r="H7" s="8">
        <f>'Sales Summary'!H11</f>
        <v>0</v>
      </c>
      <c r="I7" s="7">
        <f>'Sales Summary'!I11</f>
        <v>25.3125</v>
      </c>
      <c r="J7" s="7">
        <f>'Sales Summary'!J11</f>
        <v>97.875</v>
      </c>
      <c r="K7" s="7">
        <f>'Sales Summary'!K11</f>
        <v>294.97500000000002</v>
      </c>
      <c r="L7" s="7">
        <f>'Sales Summary'!L11</f>
        <v>380.02499999999998</v>
      </c>
      <c r="N7" s="1" t="s">
        <v>145</v>
      </c>
    </row>
    <row r="8" spans="1:14" x14ac:dyDescent="0.15">
      <c r="A8" s="3">
        <v>2</v>
      </c>
      <c r="D8" s="7"/>
      <c r="E8" s="7"/>
      <c r="F8" s="7"/>
      <c r="G8" s="7"/>
      <c r="H8" s="8"/>
      <c r="I8" s="7"/>
      <c r="J8" s="7"/>
      <c r="K8" s="7"/>
      <c r="L8" s="7"/>
    </row>
    <row r="9" spans="1:14" x14ac:dyDescent="0.15">
      <c r="A9" s="3">
        <v>3</v>
      </c>
      <c r="B9" s="6" t="s">
        <v>1</v>
      </c>
      <c r="D9" s="7">
        <f>'Sales Summary'!D17</f>
        <v>0</v>
      </c>
      <c r="E9" s="7">
        <f>'Sales Summary'!E17</f>
        <v>0</v>
      </c>
      <c r="F9" s="7">
        <f>'Sales Summary'!F17</f>
        <v>0</v>
      </c>
      <c r="G9" s="7">
        <f>'Sales Summary'!G17</f>
        <v>0</v>
      </c>
      <c r="H9" s="8">
        <f>'Sales Summary'!H17</f>
        <v>0</v>
      </c>
      <c r="I9" s="7">
        <f>'Sales Summary'!I17</f>
        <v>759.375</v>
      </c>
      <c r="J9" s="7">
        <f>'Sales Summary'!J17</f>
        <v>2754</v>
      </c>
      <c r="K9" s="7">
        <f>'Sales Summary'!K17</f>
        <v>7771.95</v>
      </c>
      <c r="L9" s="7">
        <f>'Sales Summary'!L17</f>
        <v>9896.85</v>
      </c>
      <c r="N9" s="1" t="s">
        <v>145</v>
      </c>
    </row>
    <row r="10" spans="1:14" x14ac:dyDescent="0.15">
      <c r="A10" s="3">
        <v>6</v>
      </c>
      <c r="D10" s="7"/>
      <c r="E10" s="7"/>
      <c r="F10" s="7"/>
      <c r="G10" s="7"/>
      <c r="H10" s="8"/>
      <c r="I10" s="7"/>
      <c r="J10" s="7"/>
      <c r="K10" s="7"/>
      <c r="L10" s="7"/>
    </row>
    <row r="11" spans="1:14" x14ac:dyDescent="0.15">
      <c r="A11" s="3">
        <v>7</v>
      </c>
      <c r="B11" s="6" t="s">
        <v>155</v>
      </c>
      <c r="D11" s="9">
        <f>'Sales Summary'!D19</f>
        <v>0</v>
      </c>
      <c r="E11" s="9">
        <f>'Sales Summary'!E19</f>
        <v>0</v>
      </c>
      <c r="F11" s="9">
        <f>'Sales Summary'!F19</f>
        <v>0</v>
      </c>
      <c r="G11" s="9">
        <f>'Sales Summary'!G19</f>
        <v>0</v>
      </c>
      <c r="H11" s="10">
        <f>'Sales Summary'!H19</f>
        <v>0</v>
      </c>
      <c r="I11" s="9">
        <f>'Sales Summary'!I19</f>
        <v>759.375</v>
      </c>
      <c r="J11" s="9">
        <f>'Sales Summary'!J19</f>
        <v>2754</v>
      </c>
      <c r="K11" s="9">
        <f>'Sales Summary'!K19</f>
        <v>7771.95</v>
      </c>
      <c r="L11" s="9">
        <f>'Sales Summary'!L19</f>
        <v>9896.85</v>
      </c>
      <c r="N11" s="1" t="s">
        <v>145</v>
      </c>
    </row>
    <row r="12" spans="1:14" x14ac:dyDescent="0.15">
      <c r="A12" s="3">
        <v>8</v>
      </c>
      <c r="D12" s="7"/>
      <c r="E12" s="7"/>
      <c r="F12" s="7"/>
      <c r="G12" s="7"/>
      <c r="H12" s="8"/>
      <c r="I12" s="7"/>
      <c r="J12" s="7"/>
      <c r="K12" s="7"/>
      <c r="L12" s="7"/>
    </row>
    <row r="13" spans="1:14" x14ac:dyDescent="0.15">
      <c r="A13" s="3">
        <v>9</v>
      </c>
      <c r="B13" s="6" t="s">
        <v>2</v>
      </c>
      <c r="D13" s="7">
        <f>'Cost of Sales'!D23</f>
        <v>19.2</v>
      </c>
      <c r="E13" s="7">
        <f>'Cost of Sales'!E23</f>
        <v>24.2</v>
      </c>
      <c r="F13" s="7">
        <f>'Cost of Sales'!F23</f>
        <v>29.2</v>
      </c>
      <c r="G13" s="7">
        <f>'Cost of Sales'!G23</f>
        <v>39.200000000000003</v>
      </c>
      <c r="H13" s="8">
        <f>'Cost of Sales'!H23</f>
        <v>111.8</v>
      </c>
      <c r="I13" s="7">
        <f>'Cost of Sales'!I23</f>
        <v>514.57187499999998</v>
      </c>
      <c r="J13" s="7">
        <f>'Cost of Sales'!J23</f>
        <v>1606.83</v>
      </c>
      <c r="K13" s="7">
        <f>'Cost of Sales'!K23</f>
        <v>4399.2877499999995</v>
      </c>
      <c r="L13" s="7">
        <f>'Cost of Sales'!L23</f>
        <v>5721.558250000001</v>
      </c>
      <c r="N13" s="1" t="s">
        <v>146</v>
      </c>
    </row>
    <row r="14" spans="1:14" x14ac:dyDescent="0.15">
      <c r="A14" s="3">
        <v>10</v>
      </c>
      <c r="D14" s="7"/>
      <c r="E14" s="7"/>
      <c r="F14" s="7"/>
      <c r="G14" s="7"/>
      <c r="H14" s="8"/>
      <c r="I14" s="7"/>
      <c r="J14" s="7"/>
      <c r="K14" s="7"/>
      <c r="L14" s="7"/>
    </row>
    <row r="15" spans="1:14" ht="14" thickBot="1" x14ac:dyDescent="0.2">
      <c r="A15" s="3">
        <v>11</v>
      </c>
      <c r="B15" s="6" t="s">
        <v>3</v>
      </c>
      <c r="D15" s="11">
        <f t="shared" ref="D15:L15" si="0">D11-D13</f>
        <v>-19.2</v>
      </c>
      <c r="E15" s="11">
        <f t="shared" si="0"/>
        <v>-24.2</v>
      </c>
      <c r="F15" s="11">
        <f t="shared" si="0"/>
        <v>-29.2</v>
      </c>
      <c r="G15" s="11">
        <f t="shared" si="0"/>
        <v>-39.200000000000003</v>
      </c>
      <c r="H15" s="12">
        <f t="shared" si="0"/>
        <v>-111.8</v>
      </c>
      <c r="I15" s="11">
        <f t="shared" si="0"/>
        <v>244.80312500000002</v>
      </c>
      <c r="J15" s="11">
        <f t="shared" si="0"/>
        <v>1147.17</v>
      </c>
      <c r="K15" s="11">
        <f t="shared" si="0"/>
        <v>3372.6622500000003</v>
      </c>
      <c r="L15" s="11">
        <f t="shared" si="0"/>
        <v>4175.2917499999994</v>
      </c>
    </row>
    <row r="16" spans="1:14" ht="14" thickTop="1" x14ac:dyDescent="0.15">
      <c r="A16" s="3">
        <v>12</v>
      </c>
      <c r="D16" s="7"/>
      <c r="E16" s="7"/>
      <c r="F16" s="7"/>
      <c r="G16" s="7"/>
      <c r="H16" s="8"/>
      <c r="I16" s="7"/>
      <c r="J16" s="7"/>
      <c r="K16" s="7"/>
      <c r="L16" s="7"/>
    </row>
    <row r="17" spans="1:14" x14ac:dyDescent="0.15">
      <c r="A17" s="3">
        <v>13</v>
      </c>
      <c r="B17" s="6" t="s">
        <v>4</v>
      </c>
      <c r="D17" s="7"/>
      <c r="E17" s="7"/>
      <c r="F17" s="7"/>
      <c r="G17" s="7"/>
      <c r="H17" s="8"/>
      <c r="I17" s="7"/>
      <c r="J17" s="7"/>
      <c r="K17" s="7"/>
      <c r="L17" s="7"/>
    </row>
    <row r="18" spans="1:14" x14ac:dyDescent="0.15">
      <c r="A18" s="3">
        <v>14</v>
      </c>
      <c r="B18" s="1" t="s">
        <v>5</v>
      </c>
      <c r="D18" s="7">
        <f>'G&amp;A'!D49</f>
        <v>53.288749999999993</v>
      </c>
      <c r="E18" s="7">
        <f>'G&amp;A'!E49</f>
        <v>41.288749999999993</v>
      </c>
      <c r="F18" s="7">
        <f>'G&amp;A'!F49</f>
        <v>41.288749999999993</v>
      </c>
      <c r="G18" s="7">
        <f>'G&amp;A'!G49</f>
        <v>61.288749999999993</v>
      </c>
      <c r="H18" s="8">
        <f>SUM(D18:G18)</f>
        <v>197.15499999999997</v>
      </c>
      <c r="I18" s="7">
        <f>'G&amp;A'!I49</f>
        <v>289.02</v>
      </c>
      <c r="J18" s="7">
        <f>'G&amp;A'!J49</f>
        <v>341.96999999999997</v>
      </c>
      <c r="K18" s="7">
        <f>'G&amp;A'!K49</f>
        <v>474.47</v>
      </c>
      <c r="L18" s="7">
        <f>'G&amp;A'!L49</f>
        <v>593.72</v>
      </c>
      <c r="N18" s="1" t="s">
        <v>147</v>
      </c>
    </row>
    <row r="19" spans="1:14" x14ac:dyDescent="0.15">
      <c r="A19" s="3">
        <v>15</v>
      </c>
      <c r="B19" s="13" t="s">
        <v>6</v>
      </c>
      <c r="D19" s="7">
        <f>'S&amp;M'!D31</f>
        <v>19.2</v>
      </c>
      <c r="E19" s="7">
        <f>'S&amp;M'!E31</f>
        <v>19.2</v>
      </c>
      <c r="F19" s="7">
        <f>'S&amp;M'!F31</f>
        <v>34.200000000000003</v>
      </c>
      <c r="G19" s="7">
        <f>'S&amp;M'!G31</f>
        <v>44.2</v>
      </c>
      <c r="H19" s="8">
        <f>'S&amp;M'!H31</f>
        <v>116.8</v>
      </c>
      <c r="I19" s="7">
        <f>'S&amp;M'!I31</f>
        <v>219.1</v>
      </c>
      <c r="J19" s="7">
        <f>'S&amp;M'!J31</f>
        <v>318.39999999999998</v>
      </c>
      <c r="K19" s="7">
        <f>'S&amp;M'!K31</f>
        <v>431.37500000000006</v>
      </c>
      <c r="L19" s="7">
        <f>'S&amp;M'!L31</f>
        <v>595.27500000000009</v>
      </c>
      <c r="N19" s="1" t="s">
        <v>148</v>
      </c>
    </row>
    <row r="20" spans="1:14" x14ac:dyDescent="0.15">
      <c r="A20" s="3">
        <v>16</v>
      </c>
      <c r="B20" s="13" t="s">
        <v>7</v>
      </c>
      <c r="D20" s="7">
        <f>'R&amp;D'!D33</f>
        <v>42.924999999999997</v>
      </c>
      <c r="E20" s="7">
        <f>'R&amp;D'!E33</f>
        <v>52.924999999999997</v>
      </c>
      <c r="F20" s="7">
        <f>'R&amp;D'!F33</f>
        <v>47.924999999999997</v>
      </c>
      <c r="G20" s="7">
        <f>'R&amp;D'!G33</f>
        <v>47.924999999999997</v>
      </c>
      <c r="H20" s="8">
        <f>'R&amp;D'!H33</f>
        <v>191.7</v>
      </c>
      <c r="I20" s="7">
        <f>'R&amp;D'!I33</f>
        <v>275.625</v>
      </c>
      <c r="J20" s="7">
        <f>'R&amp;D'!J33</f>
        <v>285.625</v>
      </c>
      <c r="K20" s="7">
        <f>'R&amp;D'!K33</f>
        <v>360.04999999999995</v>
      </c>
      <c r="L20" s="7">
        <f>'R&amp;D'!L33</f>
        <v>370.04999999999995</v>
      </c>
      <c r="N20" s="1" t="s">
        <v>149</v>
      </c>
    </row>
    <row r="21" spans="1:14" x14ac:dyDescent="0.15">
      <c r="A21" s="3">
        <v>17</v>
      </c>
      <c r="B21" s="13" t="s">
        <v>102</v>
      </c>
      <c r="D21" s="7">
        <f>Capex!D31</f>
        <v>21</v>
      </c>
      <c r="E21" s="7">
        <f>Capex!E31</f>
        <v>2</v>
      </c>
      <c r="F21" s="7">
        <f>Capex!F31</f>
        <v>17</v>
      </c>
      <c r="G21" s="7">
        <f>Capex!G31</f>
        <v>20</v>
      </c>
      <c r="H21" s="8">
        <f>SUM(D21:G21)</f>
        <v>60</v>
      </c>
      <c r="I21" s="7">
        <f>Capex!I31</f>
        <v>86</v>
      </c>
      <c r="J21" s="7">
        <f>Capex!J31</f>
        <v>89</v>
      </c>
      <c r="K21" s="7">
        <f>Capex!K31</f>
        <v>107</v>
      </c>
      <c r="L21" s="7">
        <f>Capex!L31</f>
        <v>122</v>
      </c>
      <c r="N21" s="1" t="s">
        <v>150</v>
      </c>
    </row>
    <row r="22" spans="1:14" x14ac:dyDescent="0.15">
      <c r="A22" s="3">
        <v>18</v>
      </c>
      <c r="B22" s="13"/>
      <c r="D22" s="7"/>
      <c r="E22" s="7"/>
      <c r="F22" s="7"/>
      <c r="G22" s="7"/>
      <c r="H22" s="8"/>
      <c r="I22" s="7"/>
      <c r="J22" s="7"/>
      <c r="K22" s="7"/>
      <c r="L22" s="7"/>
    </row>
    <row r="23" spans="1:14" x14ac:dyDescent="0.15">
      <c r="A23" s="3">
        <v>19</v>
      </c>
      <c r="B23" s="6" t="s">
        <v>251</v>
      </c>
      <c r="D23" s="9">
        <f t="shared" ref="D23:L23" si="1">SUM(D18:D21)</f>
        <v>136.41374999999999</v>
      </c>
      <c r="E23" s="9">
        <f t="shared" si="1"/>
        <v>115.41374999999999</v>
      </c>
      <c r="F23" s="9">
        <f t="shared" si="1"/>
        <v>140.41374999999999</v>
      </c>
      <c r="G23" s="9">
        <f t="shared" si="1"/>
        <v>173.41374999999999</v>
      </c>
      <c r="H23" s="10">
        <f t="shared" si="1"/>
        <v>565.65499999999997</v>
      </c>
      <c r="I23" s="9">
        <f t="shared" si="1"/>
        <v>869.745</v>
      </c>
      <c r="J23" s="9">
        <f t="shared" si="1"/>
        <v>1034.9949999999999</v>
      </c>
      <c r="K23" s="9">
        <f t="shared" si="1"/>
        <v>1372.895</v>
      </c>
      <c r="L23" s="9">
        <f t="shared" si="1"/>
        <v>1681.0450000000001</v>
      </c>
    </row>
    <row r="24" spans="1:14" x14ac:dyDescent="0.15">
      <c r="A24" s="3">
        <v>20</v>
      </c>
      <c r="B24" s="13"/>
      <c r="D24" s="7"/>
      <c r="E24" s="7"/>
      <c r="F24" s="7"/>
      <c r="G24" s="7"/>
      <c r="H24" s="8"/>
      <c r="I24" s="7"/>
      <c r="J24" s="7"/>
      <c r="K24" s="7"/>
      <c r="L24" s="7"/>
    </row>
    <row r="25" spans="1:14" ht="14" thickBot="1" x14ac:dyDescent="0.2">
      <c r="A25" s="3">
        <v>21</v>
      </c>
      <c r="B25" s="6" t="s">
        <v>8</v>
      </c>
      <c r="D25" s="14">
        <f t="shared" ref="D25:L25" si="2">D15-D23</f>
        <v>-155.61374999999998</v>
      </c>
      <c r="E25" s="14">
        <f t="shared" si="2"/>
        <v>-139.61374999999998</v>
      </c>
      <c r="F25" s="14">
        <f t="shared" si="2"/>
        <v>-169.61374999999998</v>
      </c>
      <c r="G25" s="14">
        <f t="shared" si="2"/>
        <v>-212.61374999999998</v>
      </c>
      <c r="H25" s="15">
        <f t="shared" si="2"/>
        <v>-677.45499999999993</v>
      </c>
      <c r="I25" s="14">
        <f t="shared" si="2"/>
        <v>-624.94187499999998</v>
      </c>
      <c r="J25" s="14">
        <f t="shared" si="2"/>
        <v>112.17500000000018</v>
      </c>
      <c r="K25" s="14">
        <f t="shared" si="2"/>
        <v>1999.7672500000003</v>
      </c>
      <c r="L25" s="14">
        <f t="shared" si="2"/>
        <v>2494.2467499999993</v>
      </c>
    </row>
    <row r="26" spans="1:14" x14ac:dyDescent="0.15">
      <c r="A26" s="3"/>
      <c r="H26" s="16"/>
    </row>
    <row r="27" spans="1:14" x14ac:dyDescent="0.15">
      <c r="A27" s="3"/>
      <c r="H27" s="16"/>
    </row>
    <row r="28" spans="1:14" x14ac:dyDescent="0.15">
      <c r="A28" s="3"/>
      <c r="H28" s="16"/>
    </row>
    <row r="29" spans="1:14" x14ac:dyDescent="0.15">
      <c r="A29" s="3"/>
      <c r="F29" s="17" t="s">
        <v>56</v>
      </c>
      <c r="G29" s="18"/>
      <c r="H29" s="19">
        <f>Headcount!G30</f>
        <v>5.2</v>
      </c>
      <c r="I29" s="20">
        <f>Headcount!I30</f>
        <v>9.5</v>
      </c>
      <c r="J29" s="20">
        <f>Headcount!J30</f>
        <v>14</v>
      </c>
      <c r="K29" s="20">
        <f>Headcount!K30</f>
        <v>21</v>
      </c>
      <c r="L29" s="21">
        <f>Headcount!L30</f>
        <v>29</v>
      </c>
    </row>
    <row r="30" spans="1:14" x14ac:dyDescent="0.15">
      <c r="A30" s="3"/>
      <c r="F30" s="2" t="s">
        <v>140</v>
      </c>
      <c r="G30" s="16"/>
      <c r="H30" s="8">
        <f>'Cash Flow'!H34</f>
        <v>652.54500000000007</v>
      </c>
      <c r="I30" s="22">
        <f>'Cash Flow'!I34</f>
        <v>27.603125000000091</v>
      </c>
      <c r="J30" s="22">
        <f>'Cash Flow'!J34</f>
        <v>139.77812500000027</v>
      </c>
      <c r="K30" s="22">
        <f>'Cash Flow'!K34</f>
        <v>1896.6817625000003</v>
      </c>
      <c r="L30" s="23">
        <f>'Cash Flow'!L34</f>
        <v>3642.6544875</v>
      </c>
    </row>
    <row r="31" spans="1:14" x14ac:dyDescent="0.15">
      <c r="A31" s="3"/>
      <c r="F31" s="2"/>
      <c r="G31" s="16"/>
      <c r="H31" s="8"/>
      <c r="I31" s="22"/>
      <c r="J31" s="22"/>
      <c r="K31" s="22"/>
      <c r="L31" s="23"/>
    </row>
    <row r="32" spans="1:14" x14ac:dyDescent="0.15">
      <c r="A32" s="3"/>
      <c r="F32" s="2" t="s">
        <v>142</v>
      </c>
      <c r="G32" s="16"/>
      <c r="H32" s="24" t="s">
        <v>187</v>
      </c>
      <c r="I32" s="25" t="str">
        <f>IF(H11&gt;0,(I11/H11),"-")</f>
        <v>-</v>
      </c>
      <c r="J32" s="25">
        <f>IF(I11&gt;0,(J11/I11),"-")</f>
        <v>3.6266666666666665</v>
      </c>
      <c r="K32" s="25">
        <f>IF(J11&gt;0,(K11/J11),"-")</f>
        <v>2.8220588235294115</v>
      </c>
      <c r="L32" s="26">
        <f>IF(K11&gt;0,(L11/K11),"-")</f>
        <v>1.2734062879972208</v>
      </c>
    </row>
    <row r="33" spans="1:12" x14ac:dyDescent="0.15">
      <c r="A33" s="3"/>
      <c r="F33" s="2" t="s">
        <v>143</v>
      </c>
      <c r="G33" s="16"/>
      <c r="H33" s="24" t="str">
        <f>IF(H11&gt;0,(H15/H11)*100,"-")</f>
        <v>-</v>
      </c>
      <c r="I33" s="25">
        <f>IF(I11&gt;0,(I15/I11),"-")</f>
        <v>0.32237448559670784</v>
      </c>
      <c r="J33" s="25">
        <f>IF(J11&gt;0,(J15/J11),"-")</f>
        <v>0.41654684095860567</v>
      </c>
      <c r="K33" s="25">
        <f>IF(K11&gt;0,(K15/K11),"-")</f>
        <v>0.43395315847374216</v>
      </c>
      <c r="L33" s="26">
        <f>IF(L11&gt;0,(L15/L11),"-")</f>
        <v>0.42188087623839904</v>
      </c>
    </row>
    <row r="34" spans="1:12" x14ac:dyDescent="0.15">
      <c r="A34" s="3"/>
      <c r="F34" s="27" t="s">
        <v>141</v>
      </c>
      <c r="G34" s="28"/>
      <c r="H34" s="29" t="str">
        <f>IF(H11&gt;0,(H20/H11)*100,"-")</f>
        <v>-</v>
      </c>
      <c r="I34" s="30">
        <f>IF(I11&gt;0,(I20/I11),"-")</f>
        <v>0.36296296296296299</v>
      </c>
      <c r="J34" s="30">
        <f>IF(J11&gt;0,(J20/J11),"-")</f>
        <v>0.10371278140885984</v>
      </c>
      <c r="K34" s="30">
        <f>IF(K11&gt;0,(K20/K11),"-")</f>
        <v>4.6326854907712989E-2</v>
      </c>
      <c r="L34" s="31">
        <f>IF(L11&gt;0,(L20/L11),"-")</f>
        <v>3.7390684914897158E-2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8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1"/>
  <sheetViews>
    <sheetView zoomScale="150" zoomScaleNormal="150" workbookViewId="0">
      <pane ySplit="1" topLeftCell="A2" activePane="bottomLeft" state="frozen"/>
      <selection sqref="A1:O59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12.33203125" style="1" customWidth="1"/>
    <col min="15" max="15" width="25.6640625" style="1" customWidth="1"/>
    <col min="16" max="16384" width="9.1640625" style="1"/>
  </cols>
  <sheetData>
    <row r="1" spans="1:14" s="32" customFormat="1" ht="30" customHeight="1" x14ac:dyDescent="0.15">
      <c r="B1" s="33" t="s">
        <v>153</v>
      </c>
      <c r="C1" s="33"/>
      <c r="G1" s="33" t="s">
        <v>56</v>
      </c>
      <c r="N1" s="38"/>
    </row>
    <row r="2" spans="1:14" x14ac:dyDescent="0.15">
      <c r="N2" s="5"/>
    </row>
    <row r="3" spans="1:14" x14ac:dyDescent="0.15">
      <c r="E3" s="107" t="s">
        <v>16</v>
      </c>
      <c r="F3" s="107"/>
      <c r="H3" s="2"/>
      <c r="N3" s="5"/>
    </row>
    <row r="4" spans="1:14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4" s="3" customFormat="1" x14ac:dyDescent="0.15">
      <c r="H5" s="4"/>
    </row>
    <row r="6" spans="1:14" x14ac:dyDescent="0.15">
      <c r="A6" s="3">
        <v>1</v>
      </c>
      <c r="B6" s="6" t="s">
        <v>23</v>
      </c>
      <c r="H6" s="2"/>
      <c r="N6" s="5"/>
    </row>
    <row r="7" spans="1:14" x14ac:dyDescent="0.15">
      <c r="A7" s="3">
        <v>2</v>
      </c>
      <c r="B7" s="13" t="s">
        <v>60</v>
      </c>
      <c r="D7" s="42">
        <v>1</v>
      </c>
      <c r="E7" s="42">
        <v>1</v>
      </c>
      <c r="F7" s="42">
        <v>1</v>
      </c>
      <c r="G7" s="42">
        <v>1</v>
      </c>
      <c r="H7" s="2">
        <f>G7</f>
        <v>1</v>
      </c>
      <c r="I7" s="42">
        <v>1</v>
      </c>
      <c r="J7" s="42">
        <v>1</v>
      </c>
      <c r="K7" s="42">
        <v>1</v>
      </c>
      <c r="L7" s="42">
        <v>1</v>
      </c>
      <c r="N7" s="5"/>
    </row>
    <row r="8" spans="1:14" x14ac:dyDescent="0.15">
      <c r="A8" s="3">
        <v>3</v>
      </c>
      <c r="B8" s="1" t="s">
        <v>61</v>
      </c>
      <c r="D8" s="42">
        <v>0</v>
      </c>
      <c r="E8" s="42">
        <v>0</v>
      </c>
      <c r="F8" s="42">
        <v>0</v>
      </c>
      <c r="G8" s="42">
        <v>0</v>
      </c>
      <c r="H8" s="2">
        <f>G8</f>
        <v>0</v>
      </c>
      <c r="I8" s="42">
        <v>0</v>
      </c>
      <c r="J8" s="42">
        <v>0</v>
      </c>
      <c r="K8" s="42">
        <v>1</v>
      </c>
      <c r="L8" s="42">
        <v>1</v>
      </c>
    </row>
    <row r="9" spans="1:14" x14ac:dyDescent="0.15">
      <c r="A9" s="3">
        <v>4</v>
      </c>
      <c r="B9" s="1" t="s">
        <v>62</v>
      </c>
      <c r="D9" s="42">
        <v>0.2</v>
      </c>
      <c r="E9" s="42">
        <v>0.2</v>
      </c>
      <c r="F9" s="42">
        <v>0.2</v>
      </c>
      <c r="G9" s="42">
        <v>0.2</v>
      </c>
      <c r="H9" s="2">
        <f>G9</f>
        <v>0.2</v>
      </c>
      <c r="I9" s="42">
        <v>0.5</v>
      </c>
      <c r="J9" s="42">
        <v>1</v>
      </c>
      <c r="K9" s="42">
        <v>1</v>
      </c>
      <c r="L9" s="42">
        <v>1</v>
      </c>
    </row>
    <row r="10" spans="1:14" x14ac:dyDescent="0.15">
      <c r="A10" s="3">
        <v>5</v>
      </c>
      <c r="B10" s="1" t="s">
        <v>63</v>
      </c>
      <c r="D10" s="42">
        <v>0</v>
      </c>
      <c r="E10" s="42">
        <v>0</v>
      </c>
      <c r="F10" s="42">
        <v>0</v>
      </c>
      <c r="G10" s="42">
        <v>0</v>
      </c>
      <c r="H10" s="2">
        <f>G10</f>
        <v>0</v>
      </c>
      <c r="I10" s="42">
        <v>1</v>
      </c>
      <c r="J10" s="42">
        <v>1</v>
      </c>
      <c r="K10" s="42">
        <v>1</v>
      </c>
      <c r="L10" s="42">
        <v>1</v>
      </c>
    </row>
    <row r="11" spans="1:14" x14ac:dyDescent="0.15">
      <c r="A11" s="3">
        <v>6</v>
      </c>
      <c r="B11" s="1" t="s">
        <v>64</v>
      </c>
      <c r="D11" s="42">
        <v>0</v>
      </c>
      <c r="E11" s="42">
        <v>0</v>
      </c>
      <c r="F11" s="42">
        <v>0</v>
      </c>
      <c r="G11" s="42">
        <v>0</v>
      </c>
      <c r="H11" s="27">
        <f>G11</f>
        <v>0</v>
      </c>
      <c r="I11" s="42">
        <v>0</v>
      </c>
      <c r="J11" s="42">
        <v>0</v>
      </c>
      <c r="K11" s="42">
        <v>0</v>
      </c>
      <c r="L11" s="42">
        <v>1</v>
      </c>
    </row>
    <row r="12" spans="1:14" x14ac:dyDescent="0.15">
      <c r="A12" s="3">
        <v>7</v>
      </c>
      <c r="B12" s="47" t="s">
        <v>31</v>
      </c>
      <c r="D12" s="1">
        <f t="shared" ref="D12:L12" si="0">SUM(D7:D11)</f>
        <v>1.2</v>
      </c>
      <c r="E12" s="1">
        <f t="shared" si="0"/>
        <v>1.2</v>
      </c>
      <c r="F12" s="1">
        <f t="shared" si="0"/>
        <v>1.2</v>
      </c>
      <c r="G12" s="1">
        <f t="shared" si="0"/>
        <v>1.2</v>
      </c>
      <c r="H12" s="2">
        <f t="shared" si="0"/>
        <v>1.2</v>
      </c>
      <c r="I12" s="1">
        <f t="shared" si="0"/>
        <v>2.5</v>
      </c>
      <c r="J12" s="1">
        <f t="shared" si="0"/>
        <v>3</v>
      </c>
      <c r="K12" s="1">
        <f t="shared" si="0"/>
        <v>4</v>
      </c>
      <c r="L12" s="1">
        <f t="shared" si="0"/>
        <v>5</v>
      </c>
    </row>
    <row r="13" spans="1:14" x14ac:dyDescent="0.15">
      <c r="A13" s="3">
        <v>8</v>
      </c>
      <c r="B13" s="6" t="s">
        <v>6</v>
      </c>
      <c r="H13" s="2"/>
    </row>
    <row r="14" spans="1:14" x14ac:dyDescent="0.15">
      <c r="A14" s="3">
        <v>9</v>
      </c>
      <c r="B14" s="1" t="s">
        <v>65</v>
      </c>
      <c r="D14" s="42">
        <v>1</v>
      </c>
      <c r="E14" s="42">
        <v>1</v>
      </c>
      <c r="F14" s="42">
        <v>1</v>
      </c>
      <c r="G14" s="42">
        <v>1</v>
      </c>
      <c r="H14" s="2">
        <f>G14</f>
        <v>1</v>
      </c>
      <c r="I14" s="42">
        <v>1</v>
      </c>
      <c r="J14" s="42">
        <v>1</v>
      </c>
      <c r="K14" s="42">
        <v>1</v>
      </c>
      <c r="L14" s="42">
        <v>1</v>
      </c>
    </row>
    <row r="15" spans="1:14" x14ac:dyDescent="0.15">
      <c r="A15" s="3">
        <v>10</v>
      </c>
      <c r="B15" s="1" t="s">
        <v>66</v>
      </c>
      <c r="D15" s="42">
        <v>0</v>
      </c>
      <c r="E15" s="42">
        <v>0</v>
      </c>
      <c r="F15" s="42">
        <v>0</v>
      </c>
      <c r="G15" s="42">
        <v>0</v>
      </c>
      <c r="H15" s="2">
        <f>G15</f>
        <v>0</v>
      </c>
      <c r="I15" s="42">
        <v>1</v>
      </c>
      <c r="J15" s="42">
        <v>1</v>
      </c>
      <c r="K15" s="42">
        <v>2</v>
      </c>
      <c r="L15" s="42">
        <v>3</v>
      </c>
    </row>
    <row r="16" spans="1:14" x14ac:dyDescent="0.15">
      <c r="A16" s="3">
        <v>11</v>
      </c>
      <c r="B16" s="1" t="s">
        <v>67</v>
      </c>
      <c r="D16" s="42">
        <v>0</v>
      </c>
      <c r="E16" s="42">
        <v>0</v>
      </c>
      <c r="F16" s="42">
        <v>0</v>
      </c>
      <c r="G16" s="42">
        <v>0</v>
      </c>
      <c r="H16" s="2">
        <f>G16</f>
        <v>0</v>
      </c>
      <c r="I16" s="42">
        <v>0</v>
      </c>
      <c r="J16" s="42">
        <v>1</v>
      </c>
      <c r="K16" s="42">
        <v>2</v>
      </c>
      <c r="L16" s="42">
        <v>3</v>
      </c>
    </row>
    <row r="17" spans="1:12" x14ac:dyDescent="0.15">
      <c r="A17" s="3">
        <v>12</v>
      </c>
      <c r="B17" s="1" t="s">
        <v>68</v>
      </c>
      <c r="D17" s="42">
        <v>0</v>
      </c>
      <c r="E17" s="42">
        <v>0</v>
      </c>
      <c r="F17" s="42">
        <v>0</v>
      </c>
      <c r="G17" s="42">
        <v>0</v>
      </c>
      <c r="H17" s="27">
        <f>G17</f>
        <v>0</v>
      </c>
      <c r="I17" s="42">
        <v>0</v>
      </c>
      <c r="J17" s="42">
        <v>1</v>
      </c>
      <c r="K17" s="42">
        <v>1</v>
      </c>
      <c r="L17" s="42">
        <v>2</v>
      </c>
    </row>
    <row r="18" spans="1:12" x14ac:dyDescent="0.15">
      <c r="A18" s="3">
        <v>13</v>
      </c>
      <c r="B18" s="47" t="s">
        <v>31</v>
      </c>
      <c r="D18" s="1">
        <f t="shared" ref="D18:L18" si="1">SUM(D14:D17)</f>
        <v>1</v>
      </c>
      <c r="E18" s="1">
        <f t="shared" si="1"/>
        <v>1</v>
      </c>
      <c r="F18" s="1">
        <f t="shared" si="1"/>
        <v>1</v>
      </c>
      <c r="G18" s="1">
        <f t="shared" si="1"/>
        <v>1</v>
      </c>
      <c r="H18" s="2">
        <f t="shared" si="1"/>
        <v>1</v>
      </c>
      <c r="I18" s="1">
        <f t="shared" si="1"/>
        <v>2</v>
      </c>
      <c r="J18" s="1">
        <f t="shared" si="1"/>
        <v>4</v>
      </c>
      <c r="K18" s="1">
        <f t="shared" si="1"/>
        <v>6</v>
      </c>
      <c r="L18" s="1">
        <f t="shared" si="1"/>
        <v>9</v>
      </c>
    </row>
    <row r="19" spans="1:12" x14ac:dyDescent="0.15">
      <c r="A19" s="3">
        <v>14</v>
      </c>
      <c r="B19" s="6" t="s">
        <v>58</v>
      </c>
      <c r="H19" s="2"/>
    </row>
    <row r="20" spans="1:12" x14ac:dyDescent="0.15">
      <c r="A20" s="3">
        <v>15</v>
      </c>
      <c r="B20" s="1" t="s">
        <v>69</v>
      </c>
      <c r="D20" s="42">
        <v>1</v>
      </c>
      <c r="E20" s="42">
        <v>1</v>
      </c>
      <c r="F20" s="42">
        <v>1</v>
      </c>
      <c r="G20" s="42">
        <v>1</v>
      </c>
      <c r="H20" s="2">
        <f>G20</f>
        <v>1</v>
      </c>
      <c r="I20" s="42">
        <v>1</v>
      </c>
      <c r="J20" s="42">
        <v>1</v>
      </c>
      <c r="K20" s="42">
        <v>1</v>
      </c>
      <c r="L20" s="42">
        <v>1</v>
      </c>
    </row>
    <row r="21" spans="1:12" x14ac:dyDescent="0.15">
      <c r="A21" s="3">
        <v>16</v>
      </c>
      <c r="B21" s="1" t="s">
        <v>70</v>
      </c>
      <c r="D21" s="42">
        <v>1</v>
      </c>
      <c r="E21" s="42">
        <v>1</v>
      </c>
      <c r="F21" s="42">
        <v>1</v>
      </c>
      <c r="G21" s="42">
        <v>1</v>
      </c>
      <c r="H21" s="2">
        <f>G21</f>
        <v>1</v>
      </c>
      <c r="I21" s="42">
        <v>1</v>
      </c>
      <c r="J21" s="42">
        <v>1</v>
      </c>
      <c r="K21" s="42">
        <v>1</v>
      </c>
      <c r="L21" s="42">
        <v>1</v>
      </c>
    </row>
    <row r="22" spans="1:12" x14ac:dyDescent="0.15">
      <c r="A22" s="3">
        <v>17</v>
      </c>
      <c r="B22" s="1" t="s">
        <v>71</v>
      </c>
      <c r="D22" s="42">
        <v>0</v>
      </c>
      <c r="E22" s="42">
        <v>0</v>
      </c>
      <c r="F22" s="42">
        <v>0</v>
      </c>
      <c r="G22" s="42">
        <v>0</v>
      </c>
      <c r="H22" s="27">
        <f>G22</f>
        <v>0</v>
      </c>
      <c r="I22" s="42">
        <v>1</v>
      </c>
      <c r="J22" s="42">
        <v>1</v>
      </c>
      <c r="K22" s="42">
        <v>2</v>
      </c>
      <c r="L22" s="42">
        <v>2</v>
      </c>
    </row>
    <row r="23" spans="1:12" x14ac:dyDescent="0.15">
      <c r="A23" s="3">
        <v>18</v>
      </c>
      <c r="B23" s="47" t="s">
        <v>31</v>
      </c>
      <c r="D23" s="1">
        <f t="shared" ref="D23:L23" si="2">SUM(D20:D22)</f>
        <v>2</v>
      </c>
      <c r="E23" s="1">
        <f t="shared" si="2"/>
        <v>2</v>
      </c>
      <c r="F23" s="1">
        <f t="shared" si="2"/>
        <v>2</v>
      </c>
      <c r="G23" s="1">
        <f t="shared" si="2"/>
        <v>2</v>
      </c>
      <c r="H23" s="2">
        <f t="shared" si="2"/>
        <v>2</v>
      </c>
      <c r="I23" s="1">
        <f t="shared" si="2"/>
        <v>3</v>
      </c>
      <c r="J23" s="1">
        <f t="shared" si="2"/>
        <v>3</v>
      </c>
      <c r="K23" s="1">
        <f t="shared" si="2"/>
        <v>4</v>
      </c>
      <c r="L23" s="1">
        <f t="shared" si="2"/>
        <v>4</v>
      </c>
    </row>
    <row r="24" spans="1:12" x14ac:dyDescent="0.15">
      <c r="A24" s="3">
        <v>19</v>
      </c>
      <c r="B24" s="6" t="s">
        <v>72</v>
      </c>
      <c r="H24" s="2"/>
    </row>
    <row r="25" spans="1:12" x14ac:dyDescent="0.15">
      <c r="A25" s="3">
        <v>20</v>
      </c>
      <c r="B25" s="1" t="s">
        <v>73</v>
      </c>
      <c r="D25" s="42">
        <v>1</v>
      </c>
      <c r="E25" s="42">
        <v>1</v>
      </c>
      <c r="F25" s="42">
        <v>1</v>
      </c>
      <c r="G25" s="42">
        <v>1</v>
      </c>
      <c r="H25" s="2">
        <f>G25</f>
        <v>1</v>
      </c>
      <c r="I25" s="42">
        <v>1</v>
      </c>
      <c r="J25" s="42">
        <v>1</v>
      </c>
      <c r="K25" s="42">
        <v>1</v>
      </c>
      <c r="L25" s="42">
        <v>1</v>
      </c>
    </row>
    <row r="26" spans="1:12" x14ac:dyDescent="0.15">
      <c r="A26" s="3">
        <v>21</v>
      </c>
      <c r="B26" s="1" t="s">
        <v>74</v>
      </c>
      <c r="D26" s="42">
        <v>0</v>
      </c>
      <c r="E26" s="42">
        <v>0</v>
      </c>
      <c r="F26" s="42">
        <v>0</v>
      </c>
      <c r="G26" s="42">
        <v>0</v>
      </c>
      <c r="H26" s="2">
        <f>G26</f>
        <v>0</v>
      </c>
      <c r="I26" s="42">
        <v>0</v>
      </c>
      <c r="J26" s="42">
        <v>1</v>
      </c>
      <c r="K26" s="42">
        <v>1</v>
      </c>
      <c r="L26" s="42">
        <v>2</v>
      </c>
    </row>
    <row r="27" spans="1:12" x14ac:dyDescent="0.15">
      <c r="A27" s="3">
        <v>22</v>
      </c>
      <c r="B27" s="1" t="s">
        <v>75</v>
      </c>
      <c r="D27" s="42">
        <v>0</v>
      </c>
      <c r="E27" s="42">
        <v>0</v>
      </c>
      <c r="F27" s="42">
        <v>0</v>
      </c>
      <c r="G27" s="42">
        <v>0</v>
      </c>
      <c r="H27" s="27">
        <f>G27</f>
        <v>0</v>
      </c>
      <c r="I27" s="42">
        <v>1</v>
      </c>
      <c r="J27" s="42">
        <v>2</v>
      </c>
      <c r="K27" s="42">
        <v>5</v>
      </c>
      <c r="L27" s="42">
        <v>8</v>
      </c>
    </row>
    <row r="28" spans="1:12" x14ac:dyDescent="0.15">
      <c r="A28" s="3">
        <v>23</v>
      </c>
      <c r="B28" s="47" t="s">
        <v>31</v>
      </c>
      <c r="D28" s="1">
        <f t="shared" ref="D28:L28" si="3">SUM(D25:D27)</f>
        <v>1</v>
      </c>
      <c r="E28" s="1">
        <f t="shared" si="3"/>
        <v>1</v>
      </c>
      <c r="F28" s="1">
        <f t="shared" si="3"/>
        <v>1</v>
      </c>
      <c r="G28" s="1">
        <f t="shared" si="3"/>
        <v>1</v>
      </c>
      <c r="H28" s="2">
        <f t="shared" si="3"/>
        <v>1</v>
      </c>
      <c r="I28" s="1">
        <f t="shared" si="3"/>
        <v>2</v>
      </c>
      <c r="J28" s="1">
        <f t="shared" si="3"/>
        <v>4</v>
      </c>
      <c r="K28" s="1">
        <f t="shared" si="3"/>
        <v>7</v>
      </c>
      <c r="L28" s="1">
        <f t="shared" si="3"/>
        <v>11</v>
      </c>
    </row>
    <row r="29" spans="1:12" x14ac:dyDescent="0.15">
      <c r="A29" s="3">
        <v>24</v>
      </c>
      <c r="H29" s="2"/>
    </row>
    <row r="30" spans="1:12" ht="14" thickBot="1" x14ac:dyDescent="0.2">
      <c r="A30" s="3">
        <v>25</v>
      </c>
      <c r="B30" s="6" t="s">
        <v>76</v>
      </c>
      <c r="D30" s="101">
        <f t="shared" ref="D30:L30" si="4">D12+D18+D23+D28</f>
        <v>5.2</v>
      </c>
      <c r="E30" s="101">
        <f t="shared" si="4"/>
        <v>5.2</v>
      </c>
      <c r="F30" s="101">
        <f t="shared" si="4"/>
        <v>5.2</v>
      </c>
      <c r="G30" s="101">
        <f t="shared" si="4"/>
        <v>5.2</v>
      </c>
      <c r="H30" s="102">
        <f t="shared" si="4"/>
        <v>5.2</v>
      </c>
      <c r="I30" s="101">
        <f t="shared" si="4"/>
        <v>9.5</v>
      </c>
      <c r="J30" s="101">
        <f t="shared" si="4"/>
        <v>14</v>
      </c>
      <c r="K30" s="101">
        <f t="shared" si="4"/>
        <v>21</v>
      </c>
      <c r="L30" s="101">
        <f t="shared" si="4"/>
        <v>29</v>
      </c>
    </row>
    <row r="41" spans="7:7" x14ac:dyDescent="0.15">
      <c r="G41" s="1" t="s">
        <v>247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8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0"/>
  <sheetViews>
    <sheetView zoomScale="150" zoomScaleNormal="150" workbookViewId="0">
      <pane ySplit="1" topLeftCell="A2" activePane="bottomLeft" state="frozen"/>
      <selection sqref="A1:O59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11.83203125" style="1" customWidth="1"/>
    <col min="15" max="15" width="25.6640625" style="1" customWidth="1"/>
    <col min="16" max="16384" width="9.1640625" style="1"/>
  </cols>
  <sheetData>
    <row r="1" spans="1:14" s="32" customFormat="1" ht="30" customHeight="1" x14ac:dyDescent="0.15">
      <c r="B1" s="33" t="s">
        <v>153</v>
      </c>
      <c r="C1" s="33"/>
      <c r="G1" s="33" t="s">
        <v>25</v>
      </c>
      <c r="N1" s="38"/>
    </row>
    <row r="2" spans="1:14" x14ac:dyDescent="0.15">
      <c r="N2" s="5"/>
    </row>
    <row r="3" spans="1:14" x14ac:dyDescent="0.15">
      <c r="E3" s="107" t="s">
        <v>16</v>
      </c>
      <c r="F3" s="107"/>
      <c r="H3" s="2"/>
      <c r="N3" s="5"/>
    </row>
    <row r="4" spans="1:14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4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  <c r="N5" s="3" t="s">
        <v>77</v>
      </c>
    </row>
    <row r="6" spans="1:14" x14ac:dyDescent="0.15">
      <c r="A6" s="3">
        <v>1</v>
      </c>
      <c r="B6" s="6" t="s">
        <v>59</v>
      </c>
      <c r="H6" s="2"/>
      <c r="N6" s="5"/>
    </row>
    <row r="7" spans="1:14" x14ac:dyDescent="0.15">
      <c r="A7" s="3">
        <v>2</v>
      </c>
      <c r="B7" s="13" t="s">
        <v>60</v>
      </c>
      <c r="D7" s="7">
        <f>(Headcount!D7*Salaries!$N$7)/4</f>
        <v>21.25</v>
      </c>
      <c r="E7" s="7">
        <f>(Headcount!E7*Salaries!$N$7)/4</f>
        <v>21.25</v>
      </c>
      <c r="F7" s="7">
        <f>(Headcount!F7*Salaries!$N$7)/4</f>
        <v>21.25</v>
      </c>
      <c r="G7" s="7">
        <f>(Headcount!G7*Salaries!$N$7)/4</f>
        <v>21.25</v>
      </c>
      <c r="H7" s="8">
        <f>SUM(D7:G7)</f>
        <v>85</v>
      </c>
      <c r="I7" s="7">
        <f>Headcount!I7*Salaries!$N$7</f>
        <v>85</v>
      </c>
      <c r="J7" s="7">
        <f>Headcount!J7*Salaries!$N$7</f>
        <v>85</v>
      </c>
      <c r="K7" s="7">
        <f>Headcount!K7*Salaries!$N$7</f>
        <v>85</v>
      </c>
      <c r="L7" s="7">
        <f>Headcount!L7*Salaries!$N$7</f>
        <v>85</v>
      </c>
      <c r="N7" s="103">
        <v>85</v>
      </c>
    </row>
    <row r="8" spans="1:14" x14ac:dyDescent="0.15">
      <c r="A8" s="3">
        <v>3</v>
      </c>
      <c r="B8" s="1" t="s">
        <v>61</v>
      </c>
      <c r="D8" s="7">
        <f>(Headcount!D8*Salaries!$N$8)/4</f>
        <v>0</v>
      </c>
      <c r="E8" s="7">
        <f>(Headcount!E8*Salaries!$N$8)/4</f>
        <v>0</v>
      </c>
      <c r="F8" s="7">
        <f>(Headcount!F8*Salaries!$N$8)/4</f>
        <v>0</v>
      </c>
      <c r="G8" s="7">
        <f>(Headcount!G8*Salaries!$N$8)/4</f>
        <v>0</v>
      </c>
      <c r="H8" s="8">
        <f>SUM(D8:G8)</f>
        <v>0</v>
      </c>
      <c r="I8" s="7">
        <f>Headcount!I8*Salaries!$N$8</f>
        <v>0</v>
      </c>
      <c r="J8" s="7">
        <f>Headcount!J8*Salaries!$N$8</f>
        <v>0</v>
      </c>
      <c r="K8" s="7">
        <f>Headcount!K8*Salaries!$N$8</f>
        <v>60</v>
      </c>
      <c r="L8" s="7">
        <f>Headcount!L8*Salaries!$N$8</f>
        <v>60</v>
      </c>
      <c r="N8" s="103">
        <v>60</v>
      </c>
    </row>
    <row r="9" spans="1:14" x14ac:dyDescent="0.15">
      <c r="A9" s="3">
        <v>4</v>
      </c>
      <c r="B9" s="1" t="s">
        <v>62</v>
      </c>
      <c r="D9" s="7">
        <f>(Headcount!D9*Salaries!$N$9)/4</f>
        <v>1.5</v>
      </c>
      <c r="E9" s="7">
        <f>(Headcount!E9*Salaries!$N$9)/4</f>
        <v>1.5</v>
      </c>
      <c r="F9" s="7">
        <f>(Headcount!F9*Salaries!$N$9)/4</f>
        <v>1.5</v>
      </c>
      <c r="G9" s="7">
        <f>(Headcount!G9*Salaries!$N$9)/4</f>
        <v>1.5</v>
      </c>
      <c r="H9" s="8">
        <f>SUM(D9:G9)</f>
        <v>6</v>
      </c>
      <c r="I9" s="7">
        <f>Headcount!I9*Salaries!$N$9</f>
        <v>15</v>
      </c>
      <c r="J9" s="7">
        <f>Headcount!J9*Salaries!$N$9</f>
        <v>30</v>
      </c>
      <c r="K9" s="7">
        <f>Headcount!K9*Salaries!$N$9</f>
        <v>30</v>
      </c>
      <c r="L9" s="7">
        <f>Headcount!L9*Salaries!$N$9</f>
        <v>30</v>
      </c>
      <c r="N9" s="103">
        <v>30</v>
      </c>
    </row>
    <row r="10" spans="1:14" x14ac:dyDescent="0.15">
      <c r="A10" s="3">
        <v>5</v>
      </c>
      <c r="B10" s="1" t="s">
        <v>63</v>
      </c>
      <c r="D10" s="7">
        <f>(Headcount!D10*Salaries!$N$10)/4</f>
        <v>0</v>
      </c>
      <c r="E10" s="7">
        <f>(Headcount!E10*Salaries!$N$10)/4</f>
        <v>0</v>
      </c>
      <c r="F10" s="7">
        <f>(Headcount!F10*Salaries!$N$10)/4</f>
        <v>0</v>
      </c>
      <c r="G10" s="7">
        <f>(Headcount!G10*Salaries!$N$10)/4</f>
        <v>0</v>
      </c>
      <c r="H10" s="8">
        <f>SUM(D10:G10)</f>
        <v>0</v>
      </c>
      <c r="I10" s="7">
        <f>Headcount!I10*Salaries!$N$10</f>
        <v>30</v>
      </c>
      <c r="J10" s="7">
        <f>Headcount!J10*Salaries!$N$10</f>
        <v>30</v>
      </c>
      <c r="K10" s="7">
        <f>Headcount!K10*Salaries!$N$10</f>
        <v>30</v>
      </c>
      <c r="L10" s="7">
        <f>Headcount!L10*Salaries!$N$10</f>
        <v>30</v>
      </c>
      <c r="N10" s="103">
        <v>30</v>
      </c>
    </row>
    <row r="11" spans="1:14" x14ac:dyDescent="0.15">
      <c r="A11" s="3">
        <v>6</v>
      </c>
      <c r="B11" s="1" t="s">
        <v>64</v>
      </c>
      <c r="D11" s="34">
        <f>(Headcount!D11*Salaries!$N$11)/4</f>
        <v>0</v>
      </c>
      <c r="E11" s="34">
        <f>(Headcount!E11*Salaries!$N$11)/4</f>
        <v>0</v>
      </c>
      <c r="F11" s="34">
        <f>(Headcount!F11*Salaries!$N$11)/4</f>
        <v>0</v>
      </c>
      <c r="G11" s="34">
        <f>(Headcount!G11*Salaries!$N$11)/4</f>
        <v>0</v>
      </c>
      <c r="H11" s="35">
        <f>SUM(D11:G11)</f>
        <v>0</v>
      </c>
      <c r="I11" s="34">
        <f>Headcount!I11*Salaries!$N$11</f>
        <v>0</v>
      </c>
      <c r="J11" s="34">
        <f>Headcount!J11*Salaries!$N$11</f>
        <v>0</v>
      </c>
      <c r="K11" s="34">
        <f>Headcount!K11*Salaries!$N$11</f>
        <v>0</v>
      </c>
      <c r="L11" s="34">
        <f>Headcount!L11*Salaries!$N$11</f>
        <v>35</v>
      </c>
      <c r="N11" s="103">
        <v>35</v>
      </c>
    </row>
    <row r="12" spans="1:14" x14ac:dyDescent="0.15">
      <c r="A12" s="3">
        <v>7</v>
      </c>
      <c r="B12" s="47" t="s">
        <v>31</v>
      </c>
      <c r="D12" s="7">
        <f t="shared" ref="D12:L12" si="0">SUM(D7:D11)</f>
        <v>22.75</v>
      </c>
      <c r="E12" s="7">
        <f t="shared" si="0"/>
        <v>22.75</v>
      </c>
      <c r="F12" s="7">
        <f t="shared" si="0"/>
        <v>22.75</v>
      </c>
      <c r="G12" s="7">
        <f t="shared" si="0"/>
        <v>22.75</v>
      </c>
      <c r="H12" s="8">
        <f t="shared" si="0"/>
        <v>91</v>
      </c>
      <c r="I12" s="7">
        <f t="shared" si="0"/>
        <v>130</v>
      </c>
      <c r="J12" s="7">
        <f t="shared" si="0"/>
        <v>145</v>
      </c>
      <c r="K12" s="7">
        <f t="shared" si="0"/>
        <v>205</v>
      </c>
      <c r="L12" s="7">
        <f t="shared" si="0"/>
        <v>240</v>
      </c>
      <c r="N12" s="47"/>
    </row>
    <row r="13" spans="1:14" x14ac:dyDescent="0.15">
      <c r="A13" s="3">
        <v>8</v>
      </c>
      <c r="B13" s="6" t="s">
        <v>6</v>
      </c>
      <c r="D13" s="7"/>
      <c r="E13" s="7"/>
      <c r="F13" s="7"/>
      <c r="G13" s="7"/>
      <c r="H13" s="8"/>
      <c r="I13" s="7"/>
      <c r="J13" s="7"/>
      <c r="K13" s="7"/>
      <c r="L13" s="7"/>
      <c r="N13" s="47"/>
    </row>
    <row r="14" spans="1:14" x14ac:dyDescent="0.15">
      <c r="A14" s="3">
        <v>9</v>
      </c>
      <c r="B14" s="1" t="s">
        <v>65</v>
      </c>
      <c r="D14" s="7">
        <f>(Headcount!D14*Salaries!$N$14)/4</f>
        <v>15</v>
      </c>
      <c r="E14" s="7">
        <f>(Headcount!E14*Salaries!$N$14)/4</f>
        <v>15</v>
      </c>
      <c r="F14" s="7">
        <f>(Headcount!F14*Salaries!$N$14)/4</f>
        <v>15</v>
      </c>
      <c r="G14" s="7">
        <f>(Headcount!G14*Salaries!$N$14)/4</f>
        <v>15</v>
      </c>
      <c r="H14" s="8">
        <f>SUM(D14:G14)</f>
        <v>60</v>
      </c>
      <c r="I14" s="7">
        <f>Headcount!I14*Salaries!$N$14</f>
        <v>60</v>
      </c>
      <c r="J14" s="7">
        <f>Headcount!J14*Salaries!$N$14</f>
        <v>60</v>
      </c>
      <c r="K14" s="7">
        <f>Headcount!K14*Salaries!$N$14</f>
        <v>60</v>
      </c>
      <c r="L14" s="7">
        <f>Headcount!L14*Salaries!$N$14</f>
        <v>60</v>
      </c>
      <c r="N14" s="103">
        <v>60</v>
      </c>
    </row>
    <row r="15" spans="1:14" x14ac:dyDescent="0.15">
      <c r="A15" s="3">
        <v>10</v>
      </c>
      <c r="B15" s="1" t="s">
        <v>66</v>
      </c>
      <c r="D15" s="7">
        <f>(Headcount!D15*Salaries!$N$15)/4</f>
        <v>0</v>
      </c>
      <c r="E15" s="7">
        <f>(Headcount!E15*Salaries!$N$15)/4</f>
        <v>0</v>
      </c>
      <c r="F15" s="7">
        <f>(Headcount!F15*Salaries!$N$15)/4</f>
        <v>0</v>
      </c>
      <c r="G15" s="7">
        <f>(Headcount!G15*Salaries!$N$15)/4</f>
        <v>0</v>
      </c>
      <c r="H15" s="8">
        <f>SUM(D15:G15)</f>
        <v>0</v>
      </c>
      <c r="I15" s="7">
        <f>Headcount!I15*Salaries!$N$15</f>
        <v>40</v>
      </c>
      <c r="J15" s="7">
        <f>Headcount!J15*Salaries!$N$15</f>
        <v>40</v>
      </c>
      <c r="K15" s="7">
        <f>Headcount!K15*Salaries!$N$15</f>
        <v>80</v>
      </c>
      <c r="L15" s="7">
        <f>Headcount!L15*Salaries!$N$15</f>
        <v>120</v>
      </c>
      <c r="N15" s="103">
        <v>40</v>
      </c>
    </row>
    <row r="16" spans="1:14" x14ac:dyDescent="0.15">
      <c r="A16" s="3">
        <v>11</v>
      </c>
      <c r="B16" s="1" t="s">
        <v>67</v>
      </c>
      <c r="D16" s="7">
        <f>(Headcount!D16*Salaries!$N$16)/4</f>
        <v>0</v>
      </c>
      <c r="E16" s="7">
        <f>(Headcount!E16*Salaries!$N$16)/4</f>
        <v>0</v>
      </c>
      <c r="F16" s="7">
        <f>(Headcount!F16*Salaries!$N$16)/4</f>
        <v>0</v>
      </c>
      <c r="G16" s="7">
        <f>(Headcount!G16*Salaries!$N$16)/4</f>
        <v>0</v>
      </c>
      <c r="H16" s="8">
        <f>SUM(D16:G16)</f>
        <v>0</v>
      </c>
      <c r="I16" s="7">
        <f>Headcount!I16*Salaries!$N$16</f>
        <v>0</v>
      </c>
      <c r="J16" s="7">
        <f>Headcount!J16*Salaries!$N$16</f>
        <v>35</v>
      </c>
      <c r="K16" s="7">
        <f>Headcount!K16*Salaries!$N$16</f>
        <v>70</v>
      </c>
      <c r="L16" s="7">
        <f>Headcount!L16*Salaries!$N$16</f>
        <v>105</v>
      </c>
      <c r="N16" s="103">
        <v>35</v>
      </c>
    </row>
    <row r="17" spans="1:14" x14ac:dyDescent="0.15">
      <c r="A17" s="3">
        <v>12</v>
      </c>
      <c r="B17" s="1" t="s">
        <v>68</v>
      </c>
      <c r="D17" s="34">
        <f>(Headcount!D17*Salaries!$N$17)/4</f>
        <v>0</v>
      </c>
      <c r="E17" s="34">
        <f>(Headcount!E17*Salaries!$N$17)/4</f>
        <v>0</v>
      </c>
      <c r="F17" s="34">
        <f>(Headcount!F17*Salaries!$N$17)/4</f>
        <v>0</v>
      </c>
      <c r="G17" s="34">
        <f>(Headcount!G17*Salaries!$N$17)/4</f>
        <v>0</v>
      </c>
      <c r="H17" s="35">
        <f>SUM(D17:G17)</f>
        <v>0</v>
      </c>
      <c r="I17" s="34">
        <f>Headcount!I17*Salaries!$N$17</f>
        <v>0</v>
      </c>
      <c r="J17" s="34">
        <f>Headcount!J17*Salaries!$N$17</f>
        <v>25</v>
      </c>
      <c r="K17" s="34">
        <f>Headcount!K17*Salaries!$N$17</f>
        <v>25</v>
      </c>
      <c r="L17" s="34">
        <f>Headcount!L17*Salaries!$N$17</f>
        <v>50</v>
      </c>
      <c r="N17" s="103">
        <v>25</v>
      </c>
    </row>
    <row r="18" spans="1:14" x14ac:dyDescent="0.15">
      <c r="A18" s="3">
        <v>13</v>
      </c>
      <c r="B18" s="47" t="s">
        <v>31</v>
      </c>
      <c r="D18" s="7">
        <f t="shared" ref="D18:L18" si="1">SUM(D14:D17)</f>
        <v>15</v>
      </c>
      <c r="E18" s="7">
        <f t="shared" si="1"/>
        <v>15</v>
      </c>
      <c r="F18" s="7">
        <f t="shared" si="1"/>
        <v>15</v>
      </c>
      <c r="G18" s="7">
        <f t="shared" si="1"/>
        <v>15</v>
      </c>
      <c r="H18" s="8">
        <f t="shared" si="1"/>
        <v>60</v>
      </c>
      <c r="I18" s="7">
        <f t="shared" si="1"/>
        <v>100</v>
      </c>
      <c r="J18" s="7">
        <f t="shared" si="1"/>
        <v>160</v>
      </c>
      <c r="K18" s="7">
        <f t="shared" si="1"/>
        <v>235</v>
      </c>
      <c r="L18" s="7">
        <f t="shared" si="1"/>
        <v>335</v>
      </c>
      <c r="N18" s="47"/>
    </row>
    <row r="19" spans="1:14" x14ac:dyDescent="0.15">
      <c r="A19" s="3">
        <v>14</v>
      </c>
      <c r="B19" s="6" t="s">
        <v>58</v>
      </c>
      <c r="D19" s="7"/>
      <c r="E19" s="7"/>
      <c r="F19" s="7"/>
      <c r="G19" s="7"/>
      <c r="H19" s="8"/>
      <c r="I19" s="7"/>
      <c r="J19" s="7"/>
      <c r="K19" s="7"/>
      <c r="L19" s="7"/>
      <c r="N19" s="47"/>
    </row>
    <row r="20" spans="1:14" x14ac:dyDescent="0.15">
      <c r="A20" s="3">
        <v>15</v>
      </c>
      <c r="B20" s="1" t="s">
        <v>69</v>
      </c>
      <c r="D20" s="7">
        <f>(Headcount!D20*Salaries!$N$20)/4</f>
        <v>15</v>
      </c>
      <c r="E20" s="7">
        <f>(Headcount!E20*Salaries!$N$20)/4</f>
        <v>15</v>
      </c>
      <c r="F20" s="7">
        <f>(Headcount!F20*Salaries!$N$20)/4</f>
        <v>15</v>
      </c>
      <c r="G20" s="7">
        <f>(Headcount!G20*Salaries!$N$20)/4</f>
        <v>15</v>
      </c>
      <c r="H20" s="8">
        <f>SUM(D20:G20)</f>
        <v>60</v>
      </c>
      <c r="I20" s="7">
        <f>Headcount!I20*Salaries!$N$20</f>
        <v>60</v>
      </c>
      <c r="J20" s="7">
        <f>Headcount!J20*Salaries!$N$20</f>
        <v>60</v>
      </c>
      <c r="K20" s="7">
        <f>Headcount!K20*Salaries!$N$20</f>
        <v>60</v>
      </c>
      <c r="L20" s="7">
        <f>Headcount!L20*Salaries!$N$20</f>
        <v>60</v>
      </c>
      <c r="N20" s="103">
        <v>60</v>
      </c>
    </row>
    <row r="21" spans="1:14" x14ac:dyDescent="0.15">
      <c r="A21" s="3">
        <v>16</v>
      </c>
      <c r="B21" s="1" t="s">
        <v>70</v>
      </c>
      <c r="D21" s="7">
        <f>(Headcount!D21*Salaries!$N$21)/4</f>
        <v>10</v>
      </c>
      <c r="E21" s="7">
        <f>(Headcount!E21*Salaries!$N$21)/4</f>
        <v>10</v>
      </c>
      <c r="F21" s="7">
        <f>(Headcount!F21*Salaries!$N$21)/4</f>
        <v>10</v>
      </c>
      <c r="G21" s="7">
        <f>(Headcount!G21*Salaries!$N$21)/4</f>
        <v>10</v>
      </c>
      <c r="H21" s="8">
        <f>SUM(D21:G21)</f>
        <v>40</v>
      </c>
      <c r="I21" s="7">
        <f>Headcount!I21*Salaries!$N$21</f>
        <v>40</v>
      </c>
      <c r="J21" s="7">
        <f>Headcount!J21*Salaries!$N$21</f>
        <v>40</v>
      </c>
      <c r="K21" s="7">
        <f>Headcount!K21*Salaries!$N$21</f>
        <v>40</v>
      </c>
      <c r="L21" s="7">
        <f>Headcount!L21*Salaries!$N$21</f>
        <v>40</v>
      </c>
      <c r="N21" s="103">
        <v>40</v>
      </c>
    </row>
    <row r="22" spans="1:14" x14ac:dyDescent="0.15">
      <c r="A22" s="3">
        <v>17</v>
      </c>
      <c r="B22" s="1" t="s">
        <v>71</v>
      </c>
      <c r="D22" s="34">
        <f>(Headcount!D22*Salaries!$N$22)/4</f>
        <v>0</v>
      </c>
      <c r="E22" s="34">
        <f>(Headcount!E22*Salaries!$N$22)/4</f>
        <v>0</v>
      </c>
      <c r="F22" s="34">
        <f>(Headcount!F22*Salaries!$N$22)/4</f>
        <v>0</v>
      </c>
      <c r="G22" s="34">
        <f>(Headcount!G22*Salaries!$N$22)/4</f>
        <v>0</v>
      </c>
      <c r="H22" s="35">
        <f>SUM(D22:G22)</f>
        <v>0</v>
      </c>
      <c r="I22" s="34">
        <f>Headcount!I22*Salaries!$N$22</f>
        <v>35</v>
      </c>
      <c r="J22" s="34">
        <f>Headcount!J22*Salaries!$N$22</f>
        <v>35</v>
      </c>
      <c r="K22" s="34">
        <f>Headcount!K22*Salaries!$N$22</f>
        <v>70</v>
      </c>
      <c r="L22" s="34">
        <f>Headcount!L22*Salaries!$N$22</f>
        <v>70</v>
      </c>
      <c r="N22" s="103">
        <v>35</v>
      </c>
    </row>
    <row r="23" spans="1:14" x14ac:dyDescent="0.15">
      <c r="A23" s="3">
        <v>18</v>
      </c>
      <c r="B23" s="47" t="s">
        <v>31</v>
      </c>
      <c r="D23" s="7">
        <f t="shared" ref="D23:L23" si="2">SUM(D20:D22)</f>
        <v>25</v>
      </c>
      <c r="E23" s="7">
        <f t="shared" si="2"/>
        <v>25</v>
      </c>
      <c r="F23" s="7">
        <f t="shared" si="2"/>
        <v>25</v>
      </c>
      <c r="G23" s="7">
        <f t="shared" si="2"/>
        <v>25</v>
      </c>
      <c r="H23" s="8">
        <f t="shared" si="2"/>
        <v>100</v>
      </c>
      <c r="I23" s="7">
        <f t="shared" si="2"/>
        <v>135</v>
      </c>
      <c r="J23" s="7">
        <f t="shared" si="2"/>
        <v>135</v>
      </c>
      <c r="K23" s="7">
        <f t="shared" si="2"/>
        <v>170</v>
      </c>
      <c r="L23" s="7">
        <f t="shared" si="2"/>
        <v>170</v>
      </c>
      <c r="N23" s="47"/>
    </row>
    <row r="24" spans="1:14" x14ac:dyDescent="0.15">
      <c r="A24" s="3">
        <v>19</v>
      </c>
      <c r="B24" s="6" t="s">
        <v>72</v>
      </c>
      <c r="D24" s="7"/>
      <c r="E24" s="7"/>
      <c r="F24" s="7"/>
      <c r="G24" s="7"/>
      <c r="H24" s="8"/>
      <c r="I24" s="7"/>
      <c r="J24" s="7"/>
      <c r="K24" s="7"/>
      <c r="L24" s="7"/>
      <c r="N24" s="47"/>
    </row>
    <row r="25" spans="1:14" x14ac:dyDescent="0.15">
      <c r="A25" s="3">
        <v>20</v>
      </c>
      <c r="B25" s="1" t="s">
        <v>73</v>
      </c>
      <c r="D25" s="7">
        <f>(Headcount!D25*Salaries!$N$25)/4</f>
        <v>15</v>
      </c>
      <c r="E25" s="7">
        <f>(Headcount!E25*Salaries!$N$25)/4</f>
        <v>15</v>
      </c>
      <c r="F25" s="7">
        <f>(Headcount!F25*Salaries!$N$25)/4</f>
        <v>15</v>
      </c>
      <c r="G25" s="7">
        <f>(Headcount!G25*Salaries!$N$25)/4</f>
        <v>15</v>
      </c>
      <c r="H25" s="8">
        <f>SUM(D25:G25)</f>
        <v>60</v>
      </c>
      <c r="I25" s="7">
        <f>Headcount!I25*Salaries!$N$25</f>
        <v>60</v>
      </c>
      <c r="J25" s="7">
        <f>Headcount!J25*Salaries!$N$25</f>
        <v>60</v>
      </c>
      <c r="K25" s="7">
        <f>Headcount!K25*Salaries!$N$25</f>
        <v>60</v>
      </c>
      <c r="L25" s="7">
        <f>Headcount!L25*Salaries!$N$25</f>
        <v>60</v>
      </c>
      <c r="N25" s="103">
        <v>60</v>
      </c>
    </row>
    <row r="26" spans="1:14" x14ac:dyDescent="0.15">
      <c r="A26" s="3">
        <v>21</v>
      </c>
      <c r="B26" s="1" t="s">
        <v>74</v>
      </c>
      <c r="D26" s="7">
        <f>(Headcount!D26*Salaries!$N$26)/4</f>
        <v>0</v>
      </c>
      <c r="E26" s="7">
        <f>(Headcount!E26*Salaries!$N$26)/4</f>
        <v>0</v>
      </c>
      <c r="F26" s="7">
        <f>(Headcount!F26*Salaries!$N$26)/4</f>
        <v>0</v>
      </c>
      <c r="G26" s="7">
        <f>(Headcount!G26*Salaries!$N$26)/4</f>
        <v>0</v>
      </c>
      <c r="H26" s="8">
        <f>SUM(D26:G26)</f>
        <v>0</v>
      </c>
      <c r="I26" s="7">
        <f>Headcount!I26*Salaries!$N$26</f>
        <v>0</v>
      </c>
      <c r="J26" s="7">
        <f>Headcount!J26*Salaries!$N$26</f>
        <v>40</v>
      </c>
      <c r="K26" s="7">
        <f>Headcount!K26*Salaries!$N$26</f>
        <v>40</v>
      </c>
      <c r="L26" s="7">
        <f>Headcount!L26*Salaries!$N$26</f>
        <v>80</v>
      </c>
      <c r="N26" s="103">
        <v>40</v>
      </c>
    </row>
    <row r="27" spans="1:14" x14ac:dyDescent="0.15">
      <c r="A27" s="3">
        <v>22</v>
      </c>
      <c r="B27" s="1" t="s">
        <v>75</v>
      </c>
      <c r="D27" s="34">
        <f>(Headcount!D27*Salaries!$N$27)/4</f>
        <v>0</v>
      </c>
      <c r="E27" s="34">
        <f>(Headcount!E27*Salaries!$N$27)/4</f>
        <v>0</v>
      </c>
      <c r="F27" s="34">
        <f>(Headcount!F27*Salaries!$N$27)/4</f>
        <v>0</v>
      </c>
      <c r="G27" s="34">
        <f>(Headcount!G27*Salaries!$N$27)/4</f>
        <v>0</v>
      </c>
      <c r="H27" s="35">
        <f>SUM(D27:G27)</f>
        <v>0</v>
      </c>
      <c r="I27" s="34">
        <f>Headcount!I27*Salaries!$N$27</f>
        <v>30</v>
      </c>
      <c r="J27" s="34">
        <f>Headcount!J27*Salaries!$N$27</f>
        <v>60</v>
      </c>
      <c r="K27" s="34">
        <f>Headcount!K27*Salaries!$N$27</f>
        <v>150</v>
      </c>
      <c r="L27" s="34">
        <f>Headcount!L27*Salaries!$N$27</f>
        <v>240</v>
      </c>
      <c r="N27" s="103">
        <v>30</v>
      </c>
    </row>
    <row r="28" spans="1:14" x14ac:dyDescent="0.15">
      <c r="A28" s="3">
        <v>23</v>
      </c>
      <c r="B28" s="47" t="s">
        <v>31</v>
      </c>
      <c r="D28" s="7">
        <f t="shared" ref="D28:L28" si="3">SUM(D25:D27)</f>
        <v>15</v>
      </c>
      <c r="E28" s="7">
        <f t="shared" si="3"/>
        <v>15</v>
      </c>
      <c r="F28" s="7">
        <f t="shared" si="3"/>
        <v>15</v>
      </c>
      <c r="G28" s="7">
        <f t="shared" si="3"/>
        <v>15</v>
      </c>
      <c r="H28" s="8">
        <f t="shared" si="3"/>
        <v>60</v>
      </c>
      <c r="I28" s="7">
        <f t="shared" si="3"/>
        <v>90</v>
      </c>
      <c r="J28" s="7">
        <f t="shared" si="3"/>
        <v>160</v>
      </c>
      <c r="K28" s="7">
        <f t="shared" si="3"/>
        <v>250</v>
      </c>
      <c r="L28" s="7">
        <f t="shared" si="3"/>
        <v>380</v>
      </c>
      <c r="N28" s="47"/>
    </row>
    <row r="29" spans="1:14" x14ac:dyDescent="0.15">
      <c r="A29" s="3">
        <v>24</v>
      </c>
      <c r="D29" s="7"/>
      <c r="E29" s="7"/>
      <c r="F29" s="7"/>
      <c r="G29" s="7"/>
      <c r="H29" s="8"/>
      <c r="I29" s="7"/>
      <c r="J29" s="7"/>
      <c r="K29" s="7"/>
      <c r="L29" s="7"/>
      <c r="N29" s="47"/>
    </row>
    <row r="30" spans="1:14" ht="14" thickBot="1" x14ac:dyDescent="0.2">
      <c r="A30" s="3">
        <v>25</v>
      </c>
      <c r="B30" s="6" t="s">
        <v>78</v>
      </c>
      <c r="D30" s="14">
        <f t="shared" ref="D30:L30" si="4">D12+D18+D23+D28</f>
        <v>77.75</v>
      </c>
      <c r="E30" s="14">
        <f t="shared" si="4"/>
        <v>77.75</v>
      </c>
      <c r="F30" s="14">
        <f t="shared" si="4"/>
        <v>77.75</v>
      </c>
      <c r="G30" s="14">
        <f t="shared" si="4"/>
        <v>77.75</v>
      </c>
      <c r="H30" s="15">
        <f t="shared" si="4"/>
        <v>311</v>
      </c>
      <c r="I30" s="14">
        <f t="shared" si="4"/>
        <v>455</v>
      </c>
      <c r="J30" s="14">
        <f t="shared" si="4"/>
        <v>600</v>
      </c>
      <c r="K30" s="14">
        <f t="shared" si="4"/>
        <v>860</v>
      </c>
      <c r="L30" s="14">
        <f t="shared" si="4"/>
        <v>1125</v>
      </c>
      <c r="N30" s="5"/>
    </row>
  </sheetData>
  <mergeCells count="1">
    <mergeCell ref="E3:F3"/>
  </mergeCells>
  <phoneticPr fontId="4" type="noConversion"/>
  <pageMargins left="0.75" right="0.75" top="1" bottom="1" header="0.5" footer="0.5"/>
  <pageSetup paperSize="9" scale="8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1"/>
  <sheetViews>
    <sheetView zoomScale="150" zoomScaleNormal="150" workbookViewId="0">
      <pane ySplit="1" topLeftCell="A2" activePane="bottomLeft" state="frozen"/>
      <selection sqref="A1:O59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13.5" style="1" customWidth="1"/>
    <col min="15" max="15" width="25.6640625" style="1" customWidth="1"/>
    <col min="16" max="16384" width="9.1640625" style="1"/>
  </cols>
  <sheetData>
    <row r="1" spans="1:14" s="32" customFormat="1" ht="30" customHeight="1" x14ac:dyDescent="0.15">
      <c r="B1" s="33" t="s">
        <v>153</v>
      </c>
      <c r="C1" s="33"/>
      <c r="G1" s="33" t="s">
        <v>88</v>
      </c>
      <c r="N1" s="38"/>
    </row>
    <row r="2" spans="1:14" x14ac:dyDescent="0.15">
      <c r="N2" s="5"/>
    </row>
    <row r="3" spans="1:14" x14ac:dyDescent="0.15">
      <c r="E3" s="107" t="s">
        <v>16</v>
      </c>
      <c r="F3" s="107"/>
      <c r="H3" s="2"/>
      <c r="N3" s="5"/>
    </row>
    <row r="4" spans="1:14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4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4" x14ac:dyDescent="0.15">
      <c r="A6" s="3">
        <v>1</v>
      </c>
      <c r="B6" s="6" t="s">
        <v>89</v>
      </c>
      <c r="H6" s="2"/>
      <c r="N6" s="5"/>
    </row>
    <row r="7" spans="1:14" x14ac:dyDescent="0.15">
      <c r="A7" s="3">
        <v>2</v>
      </c>
      <c r="B7" s="13" t="s">
        <v>90</v>
      </c>
      <c r="D7" s="42"/>
      <c r="E7" s="42"/>
      <c r="F7" s="42"/>
      <c r="G7" s="42">
        <v>5</v>
      </c>
      <c r="H7" s="27">
        <f>SUM(D7:G7)</f>
        <v>5</v>
      </c>
      <c r="I7" s="42">
        <v>20</v>
      </c>
      <c r="J7" s="42">
        <v>20</v>
      </c>
      <c r="K7" s="42">
        <v>20</v>
      </c>
      <c r="L7" s="42">
        <v>20</v>
      </c>
      <c r="N7" s="5"/>
    </row>
    <row r="8" spans="1:14" x14ac:dyDescent="0.15">
      <c r="A8" s="3">
        <v>3</v>
      </c>
      <c r="B8" s="47" t="s">
        <v>31</v>
      </c>
      <c r="D8" s="1">
        <f>SUM(D7)</f>
        <v>0</v>
      </c>
      <c r="E8" s="1">
        <f t="shared" ref="E8:L8" si="0">SUM(E7)</f>
        <v>0</v>
      </c>
      <c r="F8" s="1">
        <f t="shared" si="0"/>
        <v>0</v>
      </c>
      <c r="G8" s="1">
        <f t="shared" si="0"/>
        <v>5</v>
      </c>
      <c r="H8" s="17">
        <f t="shared" si="0"/>
        <v>5</v>
      </c>
      <c r="I8" s="1">
        <f t="shared" si="0"/>
        <v>20</v>
      </c>
      <c r="J8" s="1">
        <f t="shared" si="0"/>
        <v>20</v>
      </c>
      <c r="K8" s="1">
        <f t="shared" si="0"/>
        <v>20</v>
      </c>
      <c r="L8" s="1">
        <f t="shared" si="0"/>
        <v>20</v>
      </c>
    </row>
    <row r="9" spans="1:14" x14ac:dyDescent="0.15">
      <c r="A9" s="3">
        <v>4</v>
      </c>
      <c r="B9" s="6" t="s">
        <v>72</v>
      </c>
      <c r="H9" s="2"/>
    </row>
    <row r="10" spans="1:14" x14ac:dyDescent="0.15">
      <c r="A10" s="3">
        <v>5</v>
      </c>
      <c r="B10" s="1" t="s">
        <v>91</v>
      </c>
      <c r="D10" s="42"/>
      <c r="E10" s="42"/>
      <c r="F10" s="42"/>
      <c r="G10" s="42"/>
      <c r="H10" s="2">
        <f>SUM(D10:G10)</f>
        <v>0</v>
      </c>
      <c r="I10" s="42">
        <v>5</v>
      </c>
      <c r="J10" s="42">
        <v>5</v>
      </c>
      <c r="K10" s="42">
        <v>10</v>
      </c>
      <c r="L10" s="42">
        <v>10</v>
      </c>
    </row>
    <row r="11" spans="1:14" x14ac:dyDescent="0.15">
      <c r="A11" s="3">
        <v>6</v>
      </c>
      <c r="B11" s="1" t="s">
        <v>92</v>
      </c>
      <c r="D11" s="42"/>
      <c r="E11" s="42"/>
      <c r="F11" s="42"/>
      <c r="G11" s="42"/>
      <c r="H11" s="27">
        <f>SUM(D11:G11)</f>
        <v>0</v>
      </c>
      <c r="I11" s="42">
        <v>2</v>
      </c>
      <c r="J11" s="42">
        <v>2</v>
      </c>
      <c r="K11" s="42">
        <v>5</v>
      </c>
      <c r="L11" s="42">
        <v>5</v>
      </c>
    </row>
    <row r="12" spans="1:14" x14ac:dyDescent="0.15">
      <c r="A12" s="3">
        <v>7</v>
      </c>
      <c r="B12" s="47" t="s">
        <v>31</v>
      </c>
      <c r="D12" s="1">
        <f>SUM(D10:D11)</f>
        <v>0</v>
      </c>
      <c r="E12" s="1">
        <f>SUM(E10:E11)</f>
        <v>0</v>
      </c>
      <c r="F12" s="1">
        <f>SUM(F10:F11)</f>
        <v>0</v>
      </c>
      <c r="G12" s="1">
        <f>SUM(G10:G11)</f>
        <v>0</v>
      </c>
      <c r="H12" s="2">
        <f>SUM(D12:G12)</f>
        <v>0</v>
      </c>
      <c r="I12" s="1">
        <f>SUM(I10:I11)</f>
        <v>7</v>
      </c>
      <c r="J12" s="1">
        <f>SUM(J10:J11)</f>
        <v>7</v>
      </c>
      <c r="K12" s="1">
        <f>SUM(K10:K11)</f>
        <v>15</v>
      </c>
      <c r="L12" s="1">
        <f>SUM(L10:L11)</f>
        <v>15</v>
      </c>
    </row>
    <row r="13" spans="1:14" x14ac:dyDescent="0.15">
      <c r="A13" s="3">
        <v>8</v>
      </c>
      <c r="B13" s="6" t="s">
        <v>23</v>
      </c>
      <c r="H13" s="2"/>
    </row>
    <row r="14" spans="1:14" x14ac:dyDescent="0.15">
      <c r="A14" s="3">
        <v>9</v>
      </c>
      <c r="B14" s="1" t="s">
        <v>93</v>
      </c>
      <c r="D14" s="42">
        <v>5</v>
      </c>
      <c r="E14" s="42"/>
      <c r="F14" s="42"/>
      <c r="G14" s="42"/>
      <c r="H14" s="2">
        <f>SUM(D14:G14)</f>
        <v>5</v>
      </c>
      <c r="I14" s="42">
        <v>5</v>
      </c>
      <c r="J14" s="42">
        <v>5</v>
      </c>
      <c r="K14" s="42">
        <v>5</v>
      </c>
      <c r="L14" s="42">
        <v>5</v>
      </c>
    </row>
    <row r="15" spans="1:14" x14ac:dyDescent="0.15">
      <c r="A15" s="3">
        <v>10</v>
      </c>
      <c r="B15" s="1" t="s">
        <v>94</v>
      </c>
      <c r="D15" s="42">
        <v>2</v>
      </c>
      <c r="E15" s="42"/>
      <c r="F15" s="42"/>
      <c r="G15" s="42"/>
      <c r="H15" s="2">
        <f>SUM(D15:G15)</f>
        <v>2</v>
      </c>
      <c r="I15" s="42">
        <v>2</v>
      </c>
      <c r="J15" s="42">
        <v>2</v>
      </c>
      <c r="K15" s="42">
        <v>2</v>
      </c>
      <c r="L15" s="42">
        <v>2</v>
      </c>
    </row>
    <row r="16" spans="1:14" x14ac:dyDescent="0.15">
      <c r="A16" s="3">
        <v>11</v>
      </c>
      <c r="B16" s="1" t="s">
        <v>95</v>
      </c>
      <c r="D16" s="42">
        <v>5</v>
      </c>
      <c r="E16" s="42"/>
      <c r="F16" s="42"/>
      <c r="G16" s="42"/>
      <c r="H16" s="2">
        <f>SUM(D16:G16)</f>
        <v>5</v>
      </c>
      <c r="I16" s="42">
        <v>5</v>
      </c>
      <c r="J16" s="42">
        <v>5</v>
      </c>
      <c r="K16" s="42">
        <v>5</v>
      </c>
      <c r="L16" s="42">
        <v>5</v>
      </c>
    </row>
    <row r="17" spans="1:12" x14ac:dyDescent="0.15">
      <c r="A17" s="3">
        <v>12</v>
      </c>
      <c r="B17" s="1" t="s">
        <v>96</v>
      </c>
      <c r="D17" s="42">
        <v>2</v>
      </c>
      <c r="E17" s="42">
        <v>2</v>
      </c>
      <c r="F17" s="42">
        <v>2</v>
      </c>
      <c r="G17" s="42">
        <v>2</v>
      </c>
      <c r="H17" s="27">
        <f>SUM(D17:G17)</f>
        <v>8</v>
      </c>
      <c r="I17" s="42">
        <v>10</v>
      </c>
      <c r="J17" s="42">
        <v>10</v>
      </c>
      <c r="K17" s="42">
        <v>15</v>
      </c>
      <c r="L17" s="42">
        <v>20</v>
      </c>
    </row>
    <row r="18" spans="1:12" x14ac:dyDescent="0.15">
      <c r="A18" s="3">
        <v>13</v>
      </c>
      <c r="B18" s="47" t="s">
        <v>31</v>
      </c>
      <c r="D18" s="1">
        <f>SUM(D14:D17)</f>
        <v>14</v>
      </c>
      <c r="E18" s="1">
        <f>SUM(E14:E17)</f>
        <v>2</v>
      </c>
      <c r="F18" s="1">
        <f>SUM(F14:F17)</f>
        <v>2</v>
      </c>
      <c r="G18" s="1">
        <f>SUM(G14:G17)</f>
        <v>2</v>
      </c>
      <c r="H18" s="2">
        <f>SUM(D18:G18)</f>
        <v>20</v>
      </c>
      <c r="I18" s="1">
        <f>SUM(I14:I17)</f>
        <v>22</v>
      </c>
      <c r="J18" s="1">
        <f>SUM(J14:J17)</f>
        <v>22</v>
      </c>
      <c r="K18" s="1">
        <f>SUM(K14:K17)</f>
        <v>27</v>
      </c>
      <c r="L18" s="1">
        <f>SUM(L14:L17)</f>
        <v>32</v>
      </c>
    </row>
    <row r="19" spans="1:12" x14ac:dyDescent="0.15">
      <c r="A19" s="3">
        <v>14</v>
      </c>
      <c r="B19" s="6" t="s">
        <v>6</v>
      </c>
      <c r="H19" s="2"/>
    </row>
    <row r="20" spans="1:12" x14ac:dyDescent="0.15">
      <c r="A20" s="3">
        <v>15</v>
      </c>
      <c r="B20" s="1" t="s">
        <v>93</v>
      </c>
      <c r="D20" s="42"/>
      <c r="E20" s="42"/>
      <c r="F20" s="42"/>
      <c r="G20" s="42">
        <v>3</v>
      </c>
      <c r="H20" s="2">
        <f>SUM(D20:G20)</f>
        <v>3</v>
      </c>
      <c r="I20" s="42">
        <v>5</v>
      </c>
      <c r="J20" s="42">
        <v>5</v>
      </c>
      <c r="K20" s="42">
        <v>5</v>
      </c>
      <c r="L20" s="42">
        <v>5</v>
      </c>
    </row>
    <row r="21" spans="1:12" x14ac:dyDescent="0.15">
      <c r="A21" s="3">
        <v>16</v>
      </c>
      <c r="B21" s="1" t="s">
        <v>97</v>
      </c>
      <c r="D21" s="42"/>
      <c r="E21" s="42"/>
      <c r="F21" s="42"/>
      <c r="G21" s="42"/>
      <c r="H21" s="2">
        <f>SUM(D21:G21)</f>
        <v>0</v>
      </c>
      <c r="I21" s="42"/>
      <c r="J21" s="42"/>
      <c r="K21" s="42"/>
      <c r="L21" s="42"/>
    </row>
    <row r="22" spans="1:12" x14ac:dyDescent="0.15">
      <c r="A22" s="3">
        <v>17</v>
      </c>
      <c r="B22" s="1" t="s">
        <v>98</v>
      </c>
      <c r="D22" s="42"/>
      <c r="E22" s="42"/>
      <c r="F22" s="42"/>
      <c r="G22" s="42">
        <v>10</v>
      </c>
      <c r="H22" s="27">
        <f>SUM(D22:G22)</f>
        <v>10</v>
      </c>
      <c r="I22" s="42">
        <v>10</v>
      </c>
      <c r="J22" s="42">
        <v>10</v>
      </c>
      <c r="K22" s="42">
        <v>15</v>
      </c>
      <c r="L22" s="42">
        <v>20</v>
      </c>
    </row>
    <row r="23" spans="1:12" x14ac:dyDescent="0.15">
      <c r="A23" s="3">
        <v>18</v>
      </c>
      <c r="B23" s="47" t="s">
        <v>31</v>
      </c>
      <c r="D23" s="1">
        <f>SUM(D20:D22)</f>
        <v>0</v>
      </c>
      <c r="E23" s="1">
        <f>SUM(E20:E22)</f>
        <v>0</v>
      </c>
      <c r="F23" s="1">
        <f>SUM(F20:F22)</f>
        <v>0</v>
      </c>
      <c r="G23" s="1">
        <f>SUM(G20:G22)</f>
        <v>13</v>
      </c>
      <c r="H23" s="2">
        <f>SUM(D23:G23)</f>
        <v>13</v>
      </c>
      <c r="I23" s="1">
        <f>SUM(I20:I22)</f>
        <v>15</v>
      </c>
      <c r="J23" s="1">
        <f>SUM(J20:J22)</f>
        <v>15</v>
      </c>
      <c r="K23" s="1">
        <f>SUM(K20:K22)</f>
        <v>20</v>
      </c>
      <c r="L23" s="1">
        <f>SUM(L20:L22)</f>
        <v>25</v>
      </c>
    </row>
    <row r="24" spans="1:12" x14ac:dyDescent="0.15">
      <c r="A24" s="3">
        <v>19</v>
      </c>
      <c r="B24" s="6" t="s">
        <v>58</v>
      </c>
      <c r="H24" s="2"/>
    </row>
    <row r="25" spans="1:12" x14ac:dyDescent="0.15">
      <c r="A25" s="3">
        <v>20</v>
      </c>
      <c r="B25" s="1" t="s">
        <v>93</v>
      </c>
      <c r="D25" s="42">
        <v>2</v>
      </c>
      <c r="E25" s="42"/>
      <c r="F25" s="42"/>
      <c r="G25" s="42"/>
      <c r="H25" s="2">
        <f>SUM(D25:G25)</f>
        <v>2</v>
      </c>
      <c r="I25" s="42">
        <v>2</v>
      </c>
      <c r="J25" s="42">
        <v>5</v>
      </c>
      <c r="K25" s="42">
        <v>5</v>
      </c>
      <c r="L25" s="42">
        <v>5</v>
      </c>
    </row>
    <row r="26" spans="1:12" x14ac:dyDescent="0.15">
      <c r="A26" s="3">
        <v>21</v>
      </c>
      <c r="B26" s="1" t="s">
        <v>99</v>
      </c>
      <c r="D26" s="42">
        <v>5</v>
      </c>
      <c r="E26" s="42"/>
      <c r="F26" s="42"/>
      <c r="G26" s="42"/>
      <c r="H26" s="2">
        <f>SUM(D26:G26)</f>
        <v>5</v>
      </c>
      <c r="I26" s="42">
        <v>5</v>
      </c>
      <c r="J26" s="42">
        <v>5</v>
      </c>
      <c r="K26" s="42">
        <v>5</v>
      </c>
      <c r="L26" s="42">
        <v>10</v>
      </c>
    </row>
    <row r="27" spans="1:12" x14ac:dyDescent="0.15">
      <c r="A27" s="3">
        <v>22</v>
      </c>
      <c r="B27" s="1" t="s">
        <v>100</v>
      </c>
      <c r="D27" s="42"/>
      <c r="E27" s="42"/>
      <c r="F27" s="42">
        <v>10</v>
      </c>
      <c r="G27" s="42"/>
      <c r="H27" s="2">
        <f>SUM(D27:G27)</f>
        <v>10</v>
      </c>
      <c r="I27" s="42">
        <v>10</v>
      </c>
      <c r="J27" s="42">
        <v>10</v>
      </c>
      <c r="K27" s="42">
        <v>10</v>
      </c>
      <c r="L27" s="42">
        <v>10</v>
      </c>
    </row>
    <row r="28" spans="1:12" x14ac:dyDescent="0.15">
      <c r="A28" s="3">
        <v>23</v>
      </c>
      <c r="B28" s="1" t="s">
        <v>91</v>
      </c>
      <c r="D28" s="42"/>
      <c r="E28" s="42"/>
      <c r="F28" s="42">
        <v>5</v>
      </c>
      <c r="G28" s="42"/>
      <c r="H28" s="27">
        <f>SUM(D28:G28)</f>
        <v>5</v>
      </c>
      <c r="I28" s="42">
        <v>5</v>
      </c>
      <c r="J28" s="42">
        <v>5</v>
      </c>
      <c r="K28" s="42">
        <v>5</v>
      </c>
      <c r="L28" s="42">
        <v>5</v>
      </c>
    </row>
    <row r="29" spans="1:12" x14ac:dyDescent="0.15">
      <c r="A29" s="3">
        <v>24</v>
      </c>
      <c r="B29" s="47" t="s">
        <v>31</v>
      </c>
      <c r="D29" s="1">
        <f>SUM(D25:D28)</f>
        <v>7</v>
      </c>
      <c r="E29" s="1">
        <f>SUM(E25:E28)</f>
        <v>0</v>
      </c>
      <c r="F29" s="1">
        <f>SUM(F25:F28)</f>
        <v>15</v>
      </c>
      <c r="G29" s="1">
        <f>SUM(G25:G28)</f>
        <v>0</v>
      </c>
      <c r="H29" s="2">
        <f>SUM(D29:G29)</f>
        <v>22</v>
      </c>
      <c r="I29" s="1">
        <f>SUM(I25:I28)</f>
        <v>22</v>
      </c>
      <c r="J29" s="1">
        <f>SUM(J25:J28)</f>
        <v>25</v>
      </c>
      <c r="K29" s="1">
        <f>SUM(K25:K28)</f>
        <v>25</v>
      </c>
      <c r="L29" s="1">
        <f>SUM(L25:L28)</f>
        <v>30</v>
      </c>
    </row>
    <row r="30" spans="1:12" x14ac:dyDescent="0.15">
      <c r="A30" s="3">
        <v>25</v>
      </c>
      <c r="H30" s="2"/>
    </row>
    <row r="31" spans="1:12" ht="14" thickBot="1" x14ac:dyDescent="0.2">
      <c r="A31" s="3">
        <v>26</v>
      </c>
      <c r="B31" s="6" t="s">
        <v>101</v>
      </c>
      <c r="D31" s="104">
        <f>D8+D12+D18+D23+D29</f>
        <v>21</v>
      </c>
      <c r="E31" s="104">
        <f t="shared" ref="E31:L31" si="1">E8+E12+E18+E23+E29</f>
        <v>2</v>
      </c>
      <c r="F31" s="104">
        <f t="shared" si="1"/>
        <v>17</v>
      </c>
      <c r="G31" s="104">
        <f t="shared" si="1"/>
        <v>20</v>
      </c>
      <c r="H31" s="105">
        <f t="shared" si="1"/>
        <v>60</v>
      </c>
      <c r="I31" s="104">
        <f t="shared" si="1"/>
        <v>86</v>
      </c>
      <c r="J31" s="104">
        <f t="shared" si="1"/>
        <v>89</v>
      </c>
      <c r="K31" s="104">
        <f t="shared" si="1"/>
        <v>107</v>
      </c>
      <c r="L31" s="104">
        <f t="shared" si="1"/>
        <v>122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89" orientation="landscape"/>
  <headerFooter alignWithMargins="0"/>
  <ignoredErrors>
    <ignoredError sqref="H12 H18 H23 H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21"/>
  <sheetViews>
    <sheetView zoomScale="150" zoomScaleNormal="150" workbookViewId="0">
      <pane ySplit="1" topLeftCell="A2" activePane="bottomLeft" state="frozen"/>
      <selection sqref="A1:O59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/>
    <col min="15" max="15" width="25.6640625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54</v>
      </c>
      <c r="N1" s="38"/>
    </row>
    <row r="2" spans="1:15" x14ac:dyDescent="0.15">
      <c r="N2" s="5"/>
    </row>
    <row r="3" spans="1:15" x14ac:dyDescent="0.15">
      <c r="E3" s="107" t="s">
        <v>16</v>
      </c>
      <c r="F3" s="107"/>
      <c r="H3" s="2"/>
      <c r="N3" s="5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3">
        <v>1</v>
      </c>
      <c r="B6" s="6" t="s">
        <v>54</v>
      </c>
      <c r="H6" s="2"/>
      <c r="N6" s="5"/>
    </row>
    <row r="7" spans="1:15" x14ac:dyDescent="0.15">
      <c r="A7" s="3">
        <v>2</v>
      </c>
      <c r="B7" s="6"/>
      <c r="D7" s="7"/>
      <c r="E7" s="7"/>
      <c r="F7" s="7"/>
      <c r="G7" s="7"/>
      <c r="H7" s="8"/>
      <c r="I7" s="7"/>
      <c r="J7" s="7"/>
      <c r="K7" s="7"/>
      <c r="L7" s="7"/>
      <c r="N7" s="5"/>
    </row>
    <row r="8" spans="1:15" x14ac:dyDescent="0.15">
      <c r="A8" s="3">
        <v>3</v>
      </c>
      <c r="B8" s="6" t="s">
        <v>183</v>
      </c>
      <c r="D8" s="7"/>
      <c r="E8" s="7"/>
      <c r="F8" s="7"/>
      <c r="G8" s="7"/>
      <c r="H8" s="8"/>
      <c r="I8" s="7"/>
      <c r="J8" s="7"/>
      <c r="K8" s="7"/>
      <c r="L8" s="7"/>
      <c r="N8" s="5"/>
    </row>
    <row r="9" spans="1:15" x14ac:dyDescent="0.15">
      <c r="A9" s="3">
        <v>4</v>
      </c>
      <c r="B9" s="13" t="s">
        <v>184</v>
      </c>
      <c r="D9" s="34">
        <f>(Headcount!D30*Facilities!$N$9/1000)/4</f>
        <v>6.5</v>
      </c>
      <c r="E9" s="34">
        <f>(Headcount!E30*Facilities!$N$9/1000)/4</f>
        <v>6.5</v>
      </c>
      <c r="F9" s="34">
        <f>(Headcount!F30*Facilities!$N$9/1000)/4</f>
        <v>6.5</v>
      </c>
      <c r="G9" s="34">
        <f>(Headcount!G30*Facilities!$N$9/1000)/4</f>
        <v>6.5</v>
      </c>
      <c r="H9" s="35">
        <f>SUM(D9:G9)</f>
        <v>26</v>
      </c>
      <c r="I9" s="34">
        <f>(Headcount!I30*Facilities!$N$9/1000)</f>
        <v>47.5</v>
      </c>
      <c r="J9" s="34">
        <f>(Headcount!J30*Facilities!$N$9/1000)</f>
        <v>70</v>
      </c>
      <c r="K9" s="34">
        <f>(Headcount!K30*Facilities!$N$9/1000)</f>
        <v>105</v>
      </c>
      <c r="L9" s="34">
        <f>(Headcount!L30*Facilities!$N$9/1000)</f>
        <v>145</v>
      </c>
      <c r="N9" s="106">
        <v>5000</v>
      </c>
      <c r="O9" s="1" t="s">
        <v>179</v>
      </c>
    </row>
    <row r="10" spans="1:15" x14ac:dyDescent="0.15">
      <c r="A10" s="3">
        <v>5</v>
      </c>
      <c r="B10" s="6"/>
      <c r="D10" s="7"/>
      <c r="E10" s="7"/>
      <c r="F10" s="7"/>
      <c r="G10" s="7"/>
      <c r="H10" s="8"/>
      <c r="I10" s="7"/>
      <c r="J10" s="7"/>
      <c r="K10" s="7"/>
      <c r="L10" s="7"/>
      <c r="N10" s="1" t="s">
        <v>186</v>
      </c>
    </row>
    <row r="11" spans="1:15" x14ac:dyDescent="0.15">
      <c r="A11" s="3">
        <v>6</v>
      </c>
      <c r="B11" s="6" t="s">
        <v>185</v>
      </c>
      <c r="D11" s="7"/>
      <c r="E11" s="7"/>
      <c r="F11" s="7"/>
      <c r="G11" s="7"/>
      <c r="H11" s="8"/>
      <c r="I11" s="7"/>
      <c r="J11" s="7"/>
      <c r="K11" s="7"/>
      <c r="L11" s="7"/>
      <c r="N11" s="5"/>
    </row>
    <row r="12" spans="1:15" x14ac:dyDescent="0.15">
      <c r="A12" s="3">
        <v>7</v>
      </c>
      <c r="B12" s="13" t="s">
        <v>79</v>
      </c>
      <c r="D12" s="39"/>
      <c r="E12" s="39"/>
      <c r="F12" s="39"/>
      <c r="G12" s="39"/>
      <c r="H12" s="8">
        <f>SUM(D12:G12)</f>
        <v>0</v>
      </c>
      <c r="I12" s="39"/>
      <c r="J12" s="39"/>
      <c r="K12" s="39"/>
      <c r="L12" s="39"/>
    </row>
    <row r="13" spans="1:15" x14ac:dyDescent="0.15">
      <c r="A13" s="3">
        <v>8</v>
      </c>
      <c r="B13" s="1" t="s">
        <v>80</v>
      </c>
      <c r="D13" s="39"/>
      <c r="E13" s="39"/>
      <c r="F13" s="39"/>
      <c r="G13" s="39"/>
      <c r="H13" s="8">
        <f t="shared" ref="H13:H19" si="0">SUM(D13:G13)</f>
        <v>0</v>
      </c>
      <c r="I13" s="39"/>
      <c r="J13" s="39"/>
      <c r="K13" s="39"/>
      <c r="L13" s="39"/>
    </row>
    <row r="14" spans="1:15" x14ac:dyDescent="0.15">
      <c r="A14" s="3">
        <v>9</v>
      </c>
      <c r="B14" s="1" t="s">
        <v>81</v>
      </c>
      <c r="D14" s="39"/>
      <c r="E14" s="39"/>
      <c r="F14" s="39"/>
      <c r="G14" s="39"/>
      <c r="H14" s="8">
        <f t="shared" si="0"/>
        <v>0</v>
      </c>
      <c r="I14" s="39"/>
      <c r="J14" s="39"/>
      <c r="K14" s="39"/>
      <c r="L14" s="39"/>
    </row>
    <row r="15" spans="1:15" x14ac:dyDescent="0.15">
      <c r="A15" s="3">
        <v>10</v>
      </c>
      <c r="B15" s="1" t="s">
        <v>82</v>
      </c>
      <c r="D15" s="39"/>
      <c r="E15" s="39"/>
      <c r="F15" s="39"/>
      <c r="G15" s="39"/>
      <c r="H15" s="8">
        <f t="shared" si="0"/>
        <v>0</v>
      </c>
      <c r="I15" s="39"/>
      <c r="J15" s="39"/>
      <c r="K15" s="39"/>
      <c r="L15" s="39"/>
    </row>
    <row r="16" spans="1:15" x14ac:dyDescent="0.15">
      <c r="A16" s="3">
        <v>11</v>
      </c>
      <c r="B16" s="1" t="s">
        <v>83</v>
      </c>
      <c r="D16" s="39"/>
      <c r="E16" s="39"/>
      <c r="F16" s="39"/>
      <c r="G16" s="39"/>
      <c r="H16" s="8">
        <f t="shared" si="0"/>
        <v>0</v>
      </c>
      <c r="I16" s="39"/>
      <c r="J16" s="39"/>
      <c r="K16" s="39"/>
      <c r="L16" s="39"/>
    </row>
    <row r="17" spans="1:12" x14ac:dyDescent="0.15">
      <c r="A17" s="3">
        <v>12</v>
      </c>
      <c r="B17" s="1" t="s">
        <v>84</v>
      </c>
      <c r="D17" s="39"/>
      <c r="E17" s="39"/>
      <c r="F17" s="39"/>
      <c r="G17" s="39"/>
      <c r="H17" s="8">
        <f t="shared" si="0"/>
        <v>0</v>
      </c>
      <c r="I17" s="39"/>
      <c r="J17" s="39"/>
      <c r="K17" s="39"/>
      <c r="L17" s="39"/>
    </row>
    <row r="18" spans="1:12" x14ac:dyDescent="0.15">
      <c r="A18" s="3">
        <v>13</v>
      </c>
      <c r="B18" s="1" t="s">
        <v>85</v>
      </c>
      <c r="D18" s="39"/>
      <c r="E18" s="39"/>
      <c r="F18" s="39"/>
      <c r="G18" s="39"/>
      <c r="H18" s="8">
        <f t="shared" si="0"/>
        <v>0</v>
      </c>
      <c r="I18" s="39"/>
      <c r="J18" s="39"/>
      <c r="K18" s="39"/>
      <c r="L18" s="39"/>
    </row>
    <row r="19" spans="1:12" x14ac:dyDescent="0.15">
      <c r="A19" s="3">
        <v>14</v>
      </c>
      <c r="B19" s="1" t="s">
        <v>86</v>
      </c>
      <c r="D19" s="39"/>
      <c r="E19" s="39"/>
      <c r="F19" s="39"/>
      <c r="G19" s="39"/>
      <c r="H19" s="8">
        <f t="shared" si="0"/>
        <v>0</v>
      </c>
      <c r="I19" s="39"/>
      <c r="J19" s="39"/>
      <c r="K19" s="39"/>
      <c r="L19" s="39"/>
    </row>
    <row r="20" spans="1:12" x14ac:dyDescent="0.15">
      <c r="A20" s="3">
        <v>15</v>
      </c>
      <c r="D20" s="7"/>
      <c r="E20" s="7"/>
      <c r="F20" s="7"/>
      <c r="G20" s="7"/>
      <c r="H20" s="35"/>
      <c r="I20" s="7"/>
      <c r="J20" s="7"/>
      <c r="K20" s="7"/>
      <c r="L20" s="7"/>
    </row>
    <row r="21" spans="1:12" ht="14" thickBot="1" x14ac:dyDescent="0.2">
      <c r="A21" s="3">
        <v>16</v>
      </c>
      <c r="B21" s="6" t="s">
        <v>87</v>
      </c>
      <c r="D21" s="36">
        <f>SUM(D9:D19)</f>
        <v>6.5</v>
      </c>
      <c r="E21" s="36">
        <f t="shared" ref="E21:L21" si="1">SUM(E9:E19)</f>
        <v>6.5</v>
      </c>
      <c r="F21" s="36">
        <f t="shared" si="1"/>
        <v>6.5</v>
      </c>
      <c r="G21" s="36">
        <f t="shared" si="1"/>
        <v>6.5</v>
      </c>
      <c r="H21" s="37">
        <f t="shared" si="1"/>
        <v>26</v>
      </c>
      <c r="I21" s="36">
        <f t="shared" si="1"/>
        <v>47.5</v>
      </c>
      <c r="J21" s="36">
        <f t="shared" si="1"/>
        <v>70</v>
      </c>
      <c r="K21" s="36">
        <f t="shared" si="1"/>
        <v>105</v>
      </c>
      <c r="L21" s="36">
        <f t="shared" si="1"/>
        <v>145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7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zoomScale="150" zoomScaleNormal="150" workbookViewId="0">
      <pane ySplit="1" topLeftCell="A2" activePane="bottomLeft" state="frozen"/>
      <selection activeCell="F44" sqref="F44"/>
      <selection pane="bottomLeft" activeCell="B35" sqref="B35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 customWidth="1"/>
    <col min="15" max="15" width="18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123</v>
      </c>
      <c r="N1" s="38"/>
    </row>
    <row r="2" spans="1:15" x14ac:dyDescent="0.15">
      <c r="N2" s="5"/>
    </row>
    <row r="3" spans="1:15" x14ac:dyDescent="0.15">
      <c r="E3" s="107" t="s">
        <v>16</v>
      </c>
      <c r="F3" s="107"/>
      <c r="H3" s="2"/>
      <c r="N3" s="5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5"/>
      <c r="H6" s="2"/>
      <c r="N6" s="5"/>
    </row>
    <row r="7" spans="1:15" x14ac:dyDescent="0.15">
      <c r="A7" s="3">
        <v>1</v>
      </c>
      <c r="B7" s="6" t="s">
        <v>129</v>
      </c>
      <c r="D7" s="7">
        <f>'P&amp;L'!D25</f>
        <v>-155.61374999999998</v>
      </c>
      <c r="E7" s="7">
        <f>'P&amp;L'!E25</f>
        <v>-139.61374999999998</v>
      </c>
      <c r="F7" s="7">
        <f>'P&amp;L'!F25</f>
        <v>-169.61374999999998</v>
      </c>
      <c r="G7" s="7">
        <f>'P&amp;L'!G25</f>
        <v>-212.61374999999998</v>
      </c>
      <c r="H7" s="8">
        <f>'P&amp;L'!H25</f>
        <v>-677.45499999999993</v>
      </c>
      <c r="I7" s="7">
        <f>'P&amp;L'!I25</f>
        <v>-624.94187499999998</v>
      </c>
      <c r="J7" s="7">
        <f>'P&amp;L'!J25</f>
        <v>112.17500000000018</v>
      </c>
      <c r="K7" s="7">
        <f>'P&amp;L'!K25</f>
        <v>1999.7672500000003</v>
      </c>
      <c r="L7" s="7">
        <f>'P&amp;L'!L25</f>
        <v>2494.2467499999993</v>
      </c>
      <c r="N7" s="5" t="s">
        <v>130</v>
      </c>
    </row>
    <row r="8" spans="1:15" x14ac:dyDescent="0.15">
      <c r="A8" s="3">
        <v>2</v>
      </c>
      <c r="B8" s="6"/>
      <c r="D8" s="7"/>
      <c r="E8" s="7"/>
      <c r="F8" s="7"/>
      <c r="G8" s="7"/>
      <c r="H8" s="8"/>
      <c r="I8" s="7"/>
      <c r="J8" s="7"/>
      <c r="K8" s="7"/>
      <c r="L8" s="7"/>
      <c r="N8" s="5"/>
    </row>
    <row r="9" spans="1:15" x14ac:dyDescent="0.15">
      <c r="A9" s="3">
        <v>3</v>
      </c>
      <c r="B9" s="6" t="s">
        <v>188</v>
      </c>
      <c r="D9" s="7"/>
      <c r="E9" s="7"/>
      <c r="F9" s="7"/>
      <c r="G9" s="7"/>
      <c r="H9" s="8"/>
      <c r="I9" s="7"/>
      <c r="J9" s="7"/>
      <c r="K9" s="7"/>
      <c r="L9" s="7"/>
      <c r="N9" s="5"/>
    </row>
    <row r="10" spans="1:15" x14ac:dyDescent="0.15">
      <c r="A10" s="3">
        <v>4</v>
      </c>
      <c r="B10" s="13" t="s">
        <v>189</v>
      </c>
      <c r="D10" s="39">
        <v>0</v>
      </c>
      <c r="E10" s="7"/>
      <c r="F10" s="7"/>
      <c r="G10" s="7"/>
      <c r="H10" s="8">
        <f>IF(D10&lt;=0,IF(H7&lt;0,D10+H7,IF(H7+D10&gt;0,0,H7+D10)),IF(H7&lt;0,H7,0))</f>
        <v>-677.45499999999993</v>
      </c>
      <c r="I10" s="22">
        <f>IF(H10&lt;=0,IF(I7&lt;0,H10+I7,IF(I7+H10&gt;0,0,I7+H10)),IF(I7&lt;0,I7,0))</f>
        <v>-1302.3968749999999</v>
      </c>
      <c r="J10" s="22">
        <f>IF(I10&lt;=0,IF(J7&lt;0,I10+J7,IF(J7+I10&gt;0,0,J7+I10)),IF(J7&lt;0,J7,0))</f>
        <v>-1190.2218749999997</v>
      </c>
      <c r="K10" s="22">
        <f>IF(J10&lt;=0,IF(K7&lt;0,J10+K7,IF(K7+J10&gt;0,0,K7+J10)),IF(K7&lt;0,K7,0))</f>
        <v>0</v>
      </c>
      <c r="L10" s="22">
        <f>IF(K10&lt;=0,IF(L7&lt;0,K10+L7,IF(L7+K10&gt;0,0,L7+K10)),IF(L7&lt;0,L7,0))</f>
        <v>0</v>
      </c>
      <c r="N10" s="5" t="s">
        <v>192</v>
      </c>
    </row>
    <row r="11" spans="1:15" x14ac:dyDescent="0.15">
      <c r="A11" s="3">
        <v>5</v>
      </c>
      <c r="B11" s="13" t="s">
        <v>190</v>
      </c>
      <c r="E11" s="7"/>
      <c r="F11" s="7"/>
      <c r="G11" s="7"/>
      <c r="H11" s="8">
        <f>IF(H7+D10&gt;0,H7+D10,0)</f>
        <v>0</v>
      </c>
      <c r="I11" s="22">
        <f>IF(I7+H10&gt;0,I7+H10,0)</f>
        <v>0</v>
      </c>
      <c r="J11" s="22">
        <f>IF(J7+I10&gt;0,J7+I10,0)</f>
        <v>0</v>
      </c>
      <c r="K11" s="22">
        <f>IF(K7+J10&gt;0,K7+J10,0)</f>
        <v>809.5453750000006</v>
      </c>
      <c r="L11" s="22">
        <f>IF(L7+K10&gt;0,L7+K10,0)</f>
        <v>2494.2467499999993</v>
      </c>
      <c r="N11" s="5"/>
    </row>
    <row r="12" spans="1:15" x14ac:dyDescent="0.15">
      <c r="A12" s="3">
        <v>6</v>
      </c>
      <c r="B12" s="13" t="s">
        <v>138</v>
      </c>
      <c r="D12" s="7"/>
      <c r="E12" s="7"/>
      <c r="F12" s="7"/>
      <c r="G12" s="7"/>
      <c r="H12" s="8">
        <f>IF(H11&gt;0,H11*$N$12,0)</f>
        <v>0</v>
      </c>
      <c r="I12" s="22">
        <f>IF(I11&gt;0,I11*$N$12,0)</f>
        <v>0</v>
      </c>
      <c r="J12" s="22">
        <f>IF(J11&gt;0,J11*$N$12,0)</f>
        <v>0</v>
      </c>
      <c r="K12" s="22">
        <f>IF(K11&gt;0,K11*$N$12,0)</f>
        <v>242.86361250000016</v>
      </c>
      <c r="L12" s="22">
        <f>IF(L11&gt;0,L11*$N$12,0)</f>
        <v>748.27402499999982</v>
      </c>
      <c r="N12" s="40">
        <v>0.3</v>
      </c>
      <c r="O12" s="1" t="s">
        <v>188</v>
      </c>
    </row>
    <row r="13" spans="1:15" x14ac:dyDescent="0.15">
      <c r="A13" s="3">
        <v>7</v>
      </c>
      <c r="D13" s="34"/>
      <c r="E13" s="34"/>
      <c r="F13" s="34"/>
      <c r="G13" s="34"/>
      <c r="H13" s="35"/>
      <c r="I13" s="34"/>
      <c r="J13" s="34"/>
      <c r="K13" s="34"/>
      <c r="L13" s="34"/>
    </row>
    <row r="14" spans="1:15" x14ac:dyDescent="0.15">
      <c r="A14" s="3">
        <v>8</v>
      </c>
      <c r="B14" s="6" t="s">
        <v>131</v>
      </c>
      <c r="D14" s="7">
        <f>D7-D12</f>
        <v>-155.61374999999998</v>
      </c>
      <c r="E14" s="7">
        <f t="shared" ref="E14:L14" si="0">E7-E12</f>
        <v>-139.61374999999998</v>
      </c>
      <c r="F14" s="7">
        <f t="shared" si="0"/>
        <v>-169.61374999999998</v>
      </c>
      <c r="G14" s="7">
        <f t="shared" si="0"/>
        <v>-212.61374999999998</v>
      </c>
      <c r="H14" s="8">
        <f t="shared" si="0"/>
        <v>-677.45499999999993</v>
      </c>
      <c r="I14" s="7">
        <f t="shared" si="0"/>
        <v>-624.94187499999998</v>
      </c>
      <c r="J14" s="7">
        <f t="shared" si="0"/>
        <v>112.17500000000018</v>
      </c>
      <c r="K14" s="7">
        <f t="shared" si="0"/>
        <v>1756.9036375000001</v>
      </c>
      <c r="L14" s="7">
        <f t="shared" si="0"/>
        <v>1745.9727249999996</v>
      </c>
    </row>
    <row r="15" spans="1:15" x14ac:dyDescent="0.15">
      <c r="A15" s="3">
        <v>9</v>
      </c>
      <c r="D15" s="7"/>
      <c r="E15" s="7"/>
      <c r="F15" s="7"/>
      <c r="G15" s="7"/>
      <c r="H15" s="8"/>
      <c r="I15" s="7"/>
      <c r="J15" s="7"/>
      <c r="K15" s="7"/>
      <c r="L15" s="7"/>
    </row>
    <row r="16" spans="1:15" x14ac:dyDescent="0.15">
      <c r="A16" s="3">
        <v>10</v>
      </c>
      <c r="B16" s="6" t="s">
        <v>9</v>
      </c>
      <c r="D16" s="7"/>
      <c r="E16" s="7"/>
      <c r="F16" s="7"/>
      <c r="G16" s="7"/>
      <c r="H16" s="8"/>
      <c r="I16" s="7"/>
      <c r="J16" s="7"/>
      <c r="K16" s="7"/>
      <c r="L16" s="7"/>
    </row>
    <row r="17" spans="1:15" x14ac:dyDescent="0.15">
      <c r="A17" s="3">
        <v>11</v>
      </c>
      <c r="B17" s="1" t="s">
        <v>10</v>
      </c>
      <c r="D17" s="39"/>
      <c r="E17" s="39"/>
      <c r="F17" s="39"/>
      <c r="G17" s="41"/>
      <c r="H17" s="8">
        <f>SUM(D17:G17)</f>
        <v>0</v>
      </c>
      <c r="I17" s="39"/>
      <c r="J17" s="39"/>
      <c r="K17" s="39"/>
      <c r="L17" s="39"/>
    </row>
    <row r="18" spans="1:15" x14ac:dyDescent="0.15">
      <c r="A18" s="3">
        <v>12</v>
      </c>
      <c r="D18" s="7"/>
      <c r="E18" s="7"/>
      <c r="F18" s="7"/>
      <c r="G18" s="7"/>
      <c r="H18" s="8"/>
      <c r="I18" s="7"/>
      <c r="J18" s="7"/>
      <c r="K18" s="7"/>
      <c r="L18" s="7"/>
    </row>
    <row r="19" spans="1:15" x14ac:dyDescent="0.15">
      <c r="A19" s="3">
        <v>13</v>
      </c>
      <c r="B19" s="6" t="s">
        <v>132</v>
      </c>
      <c r="D19" s="7"/>
      <c r="E19" s="7"/>
      <c r="F19" s="7"/>
      <c r="G19" s="7"/>
      <c r="H19" s="8"/>
      <c r="I19" s="7"/>
      <c r="J19" s="7"/>
      <c r="K19" s="7"/>
      <c r="L19" s="7"/>
    </row>
    <row r="20" spans="1:15" x14ac:dyDescent="0.15">
      <c r="A20" s="3">
        <v>14</v>
      </c>
      <c r="B20" s="1" t="s">
        <v>133</v>
      </c>
      <c r="D20" s="39">
        <v>1400</v>
      </c>
      <c r="E20" s="39"/>
      <c r="F20" s="39"/>
      <c r="G20" s="41"/>
      <c r="H20" s="8">
        <f>SUM(D20:G20)</f>
        <v>1400</v>
      </c>
      <c r="I20" s="39"/>
      <c r="J20" s="39"/>
      <c r="K20" s="39"/>
      <c r="L20" s="39"/>
    </row>
    <row r="21" spans="1:15" x14ac:dyDescent="0.15">
      <c r="A21" s="3">
        <v>15</v>
      </c>
      <c r="B21" s="1" t="s">
        <v>134</v>
      </c>
      <c r="D21" s="7">
        <f>D20*$N$21</f>
        <v>70</v>
      </c>
      <c r="E21" s="7">
        <f>E20*$N$21</f>
        <v>0</v>
      </c>
      <c r="F21" s="7">
        <f>F20*$N$21</f>
        <v>0</v>
      </c>
      <c r="G21" s="7">
        <f>G20*$N$21</f>
        <v>0</v>
      </c>
      <c r="H21" s="8">
        <f>SUM(D21:G21)</f>
        <v>70</v>
      </c>
      <c r="I21" s="7">
        <f>I20*$N$21</f>
        <v>0</v>
      </c>
      <c r="J21" s="7">
        <f>J20*$N$21</f>
        <v>0</v>
      </c>
      <c r="K21" s="7">
        <f>K20*$N$21</f>
        <v>0</v>
      </c>
      <c r="L21" s="7">
        <f>L20*$N$21</f>
        <v>0</v>
      </c>
      <c r="N21" s="40">
        <v>0.05</v>
      </c>
      <c r="O21" s="1" t="s">
        <v>191</v>
      </c>
    </row>
    <row r="22" spans="1:15" x14ac:dyDescent="0.15">
      <c r="A22" s="3">
        <v>16</v>
      </c>
      <c r="D22" s="7"/>
      <c r="E22" s="7"/>
      <c r="F22" s="7"/>
      <c r="G22" s="7"/>
      <c r="H22" s="8"/>
      <c r="I22" s="7"/>
      <c r="J22" s="7"/>
      <c r="K22" s="7"/>
      <c r="L22" s="7"/>
    </row>
    <row r="23" spans="1:15" x14ac:dyDescent="0.15">
      <c r="A23" s="3">
        <v>17</v>
      </c>
      <c r="B23" s="6" t="s">
        <v>193</v>
      </c>
      <c r="D23" s="7"/>
      <c r="E23" s="7"/>
      <c r="F23" s="7"/>
      <c r="G23" s="7"/>
      <c r="H23" s="8"/>
      <c r="I23" s="7"/>
      <c r="J23" s="7"/>
      <c r="K23" s="7"/>
      <c r="L23" s="7"/>
    </row>
    <row r="24" spans="1:15" x14ac:dyDescent="0.15">
      <c r="A24" s="3">
        <v>18</v>
      </c>
      <c r="B24" s="45" t="s">
        <v>248</v>
      </c>
      <c r="D24" s="39"/>
      <c r="E24" s="39"/>
      <c r="F24" s="39"/>
      <c r="G24" s="41"/>
      <c r="H24" s="8">
        <f>SUM(D24:G24)</f>
        <v>0</v>
      </c>
      <c r="I24" s="39"/>
      <c r="J24" s="39"/>
      <c r="K24" s="39"/>
      <c r="L24" s="39"/>
    </row>
    <row r="25" spans="1:15" x14ac:dyDescent="0.15">
      <c r="A25" s="3">
        <v>19</v>
      </c>
      <c r="B25" s="45" t="s">
        <v>249</v>
      </c>
      <c r="D25" s="42"/>
      <c r="E25" s="42"/>
      <c r="F25" s="42"/>
      <c r="G25" s="43"/>
      <c r="H25" s="8">
        <f>SUM(D25:G25)</f>
        <v>0</v>
      </c>
      <c r="I25" s="42"/>
      <c r="J25" s="42"/>
      <c r="K25" s="42"/>
      <c r="L25" s="42"/>
    </row>
    <row r="26" spans="1:15" x14ac:dyDescent="0.15">
      <c r="A26" s="3">
        <v>20</v>
      </c>
      <c r="B26" s="1" t="s">
        <v>195</v>
      </c>
      <c r="D26" s="7">
        <f>D24-D25</f>
        <v>0</v>
      </c>
      <c r="E26" s="7">
        <f>D26+E24-E25</f>
        <v>0</v>
      </c>
      <c r="F26" s="7">
        <f>E26+F24-F25</f>
        <v>0</v>
      </c>
      <c r="G26" s="7">
        <f>F26+G24-G25</f>
        <v>0</v>
      </c>
      <c r="H26" s="8">
        <f>G26</f>
        <v>0</v>
      </c>
      <c r="I26" s="7">
        <f>H26+I24-I25</f>
        <v>0</v>
      </c>
      <c r="J26" s="7">
        <f>I26+J24-J25</f>
        <v>0</v>
      </c>
      <c r="K26" s="7">
        <f>J26+K24-K25</f>
        <v>0</v>
      </c>
      <c r="L26" s="7">
        <f>K26+L24-L25</f>
        <v>0</v>
      </c>
    </row>
    <row r="27" spans="1:15" x14ac:dyDescent="0.15">
      <c r="A27" s="3">
        <v>21</v>
      </c>
      <c r="B27" s="1" t="s">
        <v>194</v>
      </c>
      <c r="D27" s="7">
        <f>(D26*$N$27)/4</f>
        <v>0</v>
      </c>
      <c r="E27" s="7">
        <f>(E26*$N$27)/4</f>
        <v>0</v>
      </c>
      <c r="F27" s="7">
        <f>(F26*$N$27)/4</f>
        <v>0</v>
      </c>
      <c r="G27" s="7">
        <f>(G26*$N$27)/4</f>
        <v>0</v>
      </c>
      <c r="H27" s="8">
        <f>SUM(D27:G27)</f>
        <v>0</v>
      </c>
      <c r="I27" s="7">
        <f>I26*$N$27</f>
        <v>0</v>
      </c>
      <c r="J27" s="7">
        <f>J26*$N$27</f>
        <v>0</v>
      </c>
      <c r="K27" s="7">
        <f>K26*$N$27</f>
        <v>0</v>
      </c>
      <c r="L27" s="7">
        <f>L26*$N$27</f>
        <v>0</v>
      </c>
      <c r="N27" s="44">
        <v>7.4999999999999997E-2</v>
      </c>
      <c r="O27" s="1" t="s">
        <v>196</v>
      </c>
    </row>
    <row r="28" spans="1:15" x14ac:dyDescent="0.15">
      <c r="A28" s="3">
        <v>22</v>
      </c>
      <c r="D28" s="34"/>
      <c r="E28" s="34"/>
      <c r="F28" s="34"/>
      <c r="G28" s="34"/>
      <c r="H28" s="35"/>
      <c r="I28" s="34"/>
      <c r="J28" s="34"/>
      <c r="K28" s="34"/>
      <c r="L28" s="34"/>
    </row>
    <row r="29" spans="1:15" x14ac:dyDescent="0.15">
      <c r="A29" s="3">
        <v>23</v>
      </c>
      <c r="B29" s="6" t="s">
        <v>139</v>
      </c>
      <c r="D29" s="7">
        <f>(SUM(D17:D20)-D21)+D24-D25-D27</f>
        <v>1330</v>
      </c>
      <c r="E29" s="7">
        <f t="shared" ref="E29:L29" si="1">(SUM(E17:E20)-E21)+E24-E25-E27</f>
        <v>0</v>
      </c>
      <c r="F29" s="7">
        <f t="shared" si="1"/>
        <v>0</v>
      </c>
      <c r="G29" s="7">
        <f t="shared" si="1"/>
        <v>0</v>
      </c>
      <c r="H29" s="8">
        <f t="shared" si="1"/>
        <v>1330</v>
      </c>
      <c r="I29" s="7">
        <f t="shared" si="1"/>
        <v>0</v>
      </c>
      <c r="J29" s="7">
        <f>(SUM(J17:J20)-J21)+J24-J25-J27</f>
        <v>0</v>
      </c>
      <c r="K29" s="7">
        <f t="shared" si="1"/>
        <v>0</v>
      </c>
      <c r="L29" s="7">
        <f t="shared" si="1"/>
        <v>0</v>
      </c>
    </row>
    <row r="30" spans="1:15" x14ac:dyDescent="0.15">
      <c r="A30" s="3">
        <v>24</v>
      </c>
      <c r="D30" s="7"/>
      <c r="E30" s="7"/>
      <c r="F30" s="7"/>
      <c r="G30" s="7"/>
      <c r="H30" s="8"/>
      <c r="I30" s="7"/>
      <c r="J30" s="7"/>
      <c r="K30" s="7"/>
      <c r="L30" s="7"/>
    </row>
    <row r="31" spans="1:15" x14ac:dyDescent="0.15">
      <c r="A31" s="3">
        <v>25</v>
      </c>
      <c r="B31" s="6" t="s">
        <v>135</v>
      </c>
      <c r="D31" s="7">
        <f>D14+D29</f>
        <v>1174.38625</v>
      </c>
      <c r="E31" s="7">
        <f>E14+E29</f>
        <v>-139.61374999999998</v>
      </c>
      <c r="F31" s="7">
        <f>F14+F29</f>
        <v>-169.61374999999998</v>
      </c>
      <c r="G31" s="7">
        <f>G14+G29</f>
        <v>-212.61374999999998</v>
      </c>
      <c r="H31" s="8">
        <f>SUM(D31:G31)</f>
        <v>652.54500000000007</v>
      </c>
      <c r="I31" s="7">
        <f>I14+I29</f>
        <v>-624.94187499999998</v>
      </c>
      <c r="J31" s="7">
        <f>J14+J29</f>
        <v>112.17500000000018</v>
      </c>
      <c r="K31" s="7">
        <f>K14+K29</f>
        <v>1756.9036375000001</v>
      </c>
      <c r="L31" s="7">
        <f>L14+L29</f>
        <v>1745.9727249999996</v>
      </c>
    </row>
    <row r="32" spans="1:15" x14ac:dyDescent="0.15">
      <c r="A32" s="3">
        <v>26</v>
      </c>
      <c r="B32" s="6" t="s">
        <v>136</v>
      </c>
      <c r="D32" s="39">
        <v>0</v>
      </c>
      <c r="E32" s="7">
        <f>D34</f>
        <v>1174.38625</v>
      </c>
      <c r="F32" s="7">
        <f>E34</f>
        <v>1034.7725</v>
      </c>
      <c r="G32" s="7">
        <f>F34</f>
        <v>865.15875000000005</v>
      </c>
      <c r="H32" s="8">
        <f>D32</f>
        <v>0</v>
      </c>
      <c r="I32" s="7">
        <f>H34</f>
        <v>652.54500000000007</v>
      </c>
      <c r="J32" s="7">
        <f>I34</f>
        <v>27.603125000000091</v>
      </c>
      <c r="K32" s="7">
        <f>J34</f>
        <v>139.77812500000027</v>
      </c>
      <c r="L32" s="7">
        <f>K34</f>
        <v>1896.6817625000003</v>
      </c>
      <c r="N32" s="1" t="s">
        <v>197</v>
      </c>
    </row>
    <row r="33" spans="1:12" x14ac:dyDescent="0.15">
      <c r="A33" s="3">
        <v>27</v>
      </c>
      <c r="B33" s="6"/>
      <c r="D33" s="7"/>
      <c r="E33" s="7"/>
      <c r="F33" s="7"/>
      <c r="G33" s="7"/>
      <c r="H33" s="8"/>
      <c r="I33" s="7"/>
      <c r="J33" s="7"/>
      <c r="K33" s="7"/>
      <c r="L33" s="7"/>
    </row>
    <row r="34" spans="1:12" ht="14" thickBot="1" x14ac:dyDescent="0.2">
      <c r="A34" s="3">
        <v>28</v>
      </c>
      <c r="B34" s="6" t="s">
        <v>137</v>
      </c>
      <c r="D34" s="36">
        <f t="shared" ref="D34:L34" si="2">D31+D32</f>
        <v>1174.38625</v>
      </c>
      <c r="E34" s="36">
        <f t="shared" si="2"/>
        <v>1034.7725</v>
      </c>
      <c r="F34" s="36">
        <f t="shared" si="2"/>
        <v>865.15875000000005</v>
      </c>
      <c r="G34" s="36">
        <f t="shared" si="2"/>
        <v>652.54500000000007</v>
      </c>
      <c r="H34" s="37">
        <f t="shared" si="2"/>
        <v>652.54500000000007</v>
      </c>
      <c r="I34" s="36">
        <f t="shared" si="2"/>
        <v>27.603125000000091</v>
      </c>
      <c r="J34" s="36">
        <f t="shared" si="2"/>
        <v>139.77812500000027</v>
      </c>
      <c r="K34" s="36">
        <f t="shared" si="2"/>
        <v>1896.6817625000003</v>
      </c>
      <c r="L34" s="36">
        <f t="shared" si="2"/>
        <v>3642.6544875</v>
      </c>
    </row>
  </sheetData>
  <mergeCells count="1">
    <mergeCell ref="E3:F3"/>
  </mergeCells>
  <phoneticPr fontId="4" type="noConversion"/>
  <dataValidations disablePrompts="1" count="1">
    <dataValidation type="decimal" operator="lessThanOrEqual" allowBlank="1" showInputMessage="1" showErrorMessage="1" sqref="D10" xr:uid="{00000000-0002-0000-0100-000000000000}">
      <formula1>0</formula1>
    </dataValidation>
  </dataValidations>
  <pageMargins left="0.75" right="0.75" top="1" bottom="1" header="0.5" footer="0.5"/>
  <pageSetup paperSize="9" scale="83" orientation="landscape"/>
  <headerFooter alignWithMargins="0"/>
  <ignoredErrors>
    <ignoredError sqref="H21 H26 H31:H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9"/>
  <sheetViews>
    <sheetView zoomScale="150" zoomScaleNormal="150" workbookViewId="0">
      <pane ySplit="1" topLeftCell="A2" activePane="bottomLeft" state="frozen"/>
      <selection activeCell="F44" sqref="F44"/>
      <selection pane="bottomLeft" activeCell="K5" sqref="K5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/>
    <col min="15" max="15" width="25.6640625" style="1" customWidth="1"/>
    <col min="16" max="16384" width="9.1640625" style="1"/>
  </cols>
  <sheetData>
    <row r="1" spans="2:11" s="32" customFormat="1" ht="30" customHeight="1" x14ac:dyDescent="0.15">
      <c r="B1" s="33" t="s">
        <v>153</v>
      </c>
      <c r="C1" s="33"/>
      <c r="G1" s="33" t="s">
        <v>198</v>
      </c>
    </row>
    <row r="5" spans="2:11" s="3" customFormat="1" x14ac:dyDescent="0.15">
      <c r="B5" s="46" t="s">
        <v>199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200</v>
      </c>
      <c r="K5" s="3" t="s">
        <v>228</v>
      </c>
    </row>
    <row r="6" spans="2:11" x14ac:dyDescent="0.15">
      <c r="D6" s="3" t="s">
        <v>229</v>
      </c>
      <c r="E6" s="3" t="s">
        <v>229</v>
      </c>
      <c r="F6" s="3" t="s">
        <v>229</v>
      </c>
      <c r="G6" s="3" t="s">
        <v>229</v>
      </c>
      <c r="H6" s="3" t="s">
        <v>229</v>
      </c>
      <c r="I6" s="3" t="s">
        <v>229</v>
      </c>
    </row>
    <row r="7" spans="2:11" x14ac:dyDescent="0.15">
      <c r="B7" s="47" t="s">
        <v>129</v>
      </c>
      <c r="D7" s="62">
        <f>IF('P&amp;L'!H25&gt;0,'P&amp;L'!H25,0)</f>
        <v>0</v>
      </c>
      <c r="E7" s="62">
        <f>IF('P&amp;L'!I25&gt;0,'P&amp;L'!I25,0)</f>
        <v>0</v>
      </c>
      <c r="F7" s="62">
        <f>IF('P&amp;L'!J25&gt;0,'P&amp;L'!J25,0)</f>
        <v>112.17500000000018</v>
      </c>
      <c r="G7" s="62">
        <f>IF('P&amp;L'!K25&gt;0,'P&amp;L'!K25,0)</f>
        <v>1999.7672500000003</v>
      </c>
      <c r="H7" s="62">
        <f>IF('P&amp;L'!L25&gt;0,'P&amp;L'!L25,0)</f>
        <v>2494.2467499999993</v>
      </c>
      <c r="I7" s="48">
        <f>D26</f>
        <v>14252.838571428567</v>
      </c>
      <c r="K7" s="1" t="s">
        <v>230</v>
      </c>
    </row>
    <row r="9" spans="2:11" x14ac:dyDescent="0.15">
      <c r="B9" s="6" t="s">
        <v>201</v>
      </c>
    </row>
    <row r="10" spans="2:11" x14ac:dyDescent="0.15">
      <c r="B10" s="47" t="s">
        <v>202</v>
      </c>
      <c r="D10" s="63">
        <v>0.05</v>
      </c>
      <c r="K10" s="1" t="s">
        <v>203</v>
      </c>
    </row>
    <row r="11" spans="2:11" x14ac:dyDescent="0.15">
      <c r="B11" s="47" t="s">
        <v>204</v>
      </c>
      <c r="D11" s="42">
        <v>1.5</v>
      </c>
      <c r="K11" s="1" t="s">
        <v>205</v>
      </c>
    </row>
    <row r="12" spans="2:11" x14ac:dyDescent="0.15">
      <c r="B12" s="47" t="s">
        <v>206</v>
      </c>
      <c r="D12" s="63">
        <v>0.3</v>
      </c>
      <c r="K12" s="1" t="s">
        <v>207</v>
      </c>
    </row>
    <row r="13" spans="2:11" x14ac:dyDescent="0.15">
      <c r="B13" s="47" t="s">
        <v>208</v>
      </c>
      <c r="D13" s="63">
        <v>0.1</v>
      </c>
      <c r="K13" s="1" t="s">
        <v>209</v>
      </c>
    </row>
    <row r="15" spans="2:11" x14ac:dyDescent="0.15">
      <c r="B15" s="47" t="s">
        <v>212</v>
      </c>
      <c r="D15" s="49">
        <f>IF(SUM('Cash Flow'!H20:L20)+SUM('Cash Flow'!H24:L24)&gt;0,SUM('Cash Flow'!H24:L24)/(SUM('Cash Flow'!H20:L20)+SUM('Cash Flow'!H24:L24)),0)</f>
        <v>0</v>
      </c>
      <c r="K15" s="1" t="s">
        <v>211</v>
      </c>
    </row>
    <row r="16" spans="2:11" x14ac:dyDescent="0.15">
      <c r="B16" s="47" t="s">
        <v>210</v>
      </c>
      <c r="D16" s="50">
        <f>IF(SUM('Cash Flow'!H20:L20)+SUM('Cash Flow'!H24:L24)&gt;0,SUM('Cash Flow'!H20:L20)/(SUM('Cash Flow'!H20:L20)+SUM('Cash Flow'!H24:L24)),0)</f>
        <v>1</v>
      </c>
    </row>
    <row r="18" spans="2:11" x14ac:dyDescent="0.15">
      <c r="B18" s="47" t="s">
        <v>213</v>
      </c>
      <c r="D18" s="51">
        <f>D15*(D10*(1-D12))</f>
        <v>0</v>
      </c>
    </row>
    <row r="19" spans="2:11" x14ac:dyDescent="0.15">
      <c r="B19" s="47" t="s">
        <v>214</v>
      </c>
      <c r="D19" s="51">
        <f>D16*(D10+(D11*D13))</f>
        <v>0.2</v>
      </c>
    </row>
    <row r="21" spans="2:11" x14ac:dyDescent="0.15">
      <c r="B21" s="47" t="s">
        <v>215</v>
      </c>
      <c r="D21" s="52">
        <f>D18+D19</f>
        <v>0.2</v>
      </c>
      <c r="K21" s="1" t="s">
        <v>216</v>
      </c>
    </row>
    <row r="22" spans="2:11" x14ac:dyDescent="0.15">
      <c r="B22" s="47"/>
      <c r="D22" s="49"/>
    </row>
    <row r="23" spans="2:11" x14ac:dyDescent="0.15">
      <c r="B23" s="6" t="s">
        <v>217</v>
      </c>
    </row>
    <row r="24" spans="2:11" x14ac:dyDescent="0.15">
      <c r="B24" s="47" t="s">
        <v>218</v>
      </c>
      <c r="D24" s="63">
        <v>2.5000000000000001E-2</v>
      </c>
      <c r="K24" s="1" t="s">
        <v>219</v>
      </c>
    </row>
    <row r="26" spans="2:11" x14ac:dyDescent="0.15">
      <c r="B26" s="47" t="s">
        <v>220</v>
      </c>
      <c r="D26" s="53">
        <f>H7/(D21-D24)</f>
        <v>14252.838571428567</v>
      </c>
    </row>
    <row r="27" spans="2:11" x14ac:dyDescent="0.15">
      <c r="D27" s="53"/>
    </row>
    <row r="28" spans="2:11" x14ac:dyDescent="0.15">
      <c r="B28" s="6" t="s">
        <v>221</v>
      </c>
      <c r="D28" s="54" t="s">
        <v>222</v>
      </c>
      <c r="E28" s="1" t="s">
        <v>17</v>
      </c>
      <c r="F28" s="1" t="s">
        <v>18</v>
      </c>
      <c r="G28" s="1" t="s">
        <v>19</v>
      </c>
      <c r="H28" s="1" t="s">
        <v>20</v>
      </c>
    </row>
    <row r="29" spans="2:11" x14ac:dyDescent="0.15">
      <c r="B29" s="55" t="s">
        <v>223</v>
      </c>
      <c r="D29" s="56">
        <f>(D7/(1+$D$21))+(E7/POWER((1+$D$21),2))+(F7/POWER((1+$D$21),3))+(G7/POWER((1+$D$21),4))+(H7/POWER((1+$D$21),5))+(I7/POWER((1+$D$21),6))</f>
        <v>6804.9386438201172</v>
      </c>
      <c r="E29" s="56">
        <f>(E7/(1+$D$21))+(F7/POWER((1+$D$21),2))+(G7/POWER((1+$D$21),3))+(H7/POWER((1+$D$21),4))+(I7/POWER((1+$D$21),5))</f>
        <v>8165.9263725841411</v>
      </c>
      <c r="F29" s="56">
        <f>(F7/(1+$D$21))+(G7/POWER((1+$D$21),2))+(H7/POWER((1+$D$21),3))+(I7/POWER((1+$D$21),4))</f>
        <v>9799.1116471009682</v>
      </c>
      <c r="G29" s="56">
        <f>(G7/(1+$D$21))+(H7/POWER((1+$D$21),2))+(I7/POWER((1+$D$21),3))</f>
        <v>11646.758976521161</v>
      </c>
      <c r="H29" s="56">
        <f>(H7/(1+$D$21))+(I7/POWER((1+$D$21),2))</f>
        <v>11976.343521825393</v>
      </c>
    </row>
    <row r="30" spans="2:11" x14ac:dyDescent="0.15">
      <c r="B30" s="47" t="s">
        <v>224</v>
      </c>
      <c r="D30" s="53">
        <v>0</v>
      </c>
      <c r="E30" s="57">
        <f>IF(D29=0,0,(E29/D29)-1)</f>
        <v>0.19999999999999996</v>
      </c>
      <c r="F30" s="57">
        <f>IF(E29=0,0,(F29/E29)-1)</f>
        <v>0.19999999999999996</v>
      </c>
      <c r="G30" s="57">
        <f>IF(F29=0,0,(G29/F29)-1)</f>
        <v>0.18855253373573033</v>
      </c>
      <c r="H30" s="57">
        <f>IF(G29=0,0,(H29/G29)-1)</f>
        <v>2.8298391506911491E-2</v>
      </c>
    </row>
    <row r="31" spans="2:11" x14ac:dyDescent="0.15">
      <c r="B31" s="47" t="s">
        <v>225</v>
      </c>
      <c r="D31" s="53">
        <v>0</v>
      </c>
      <c r="E31" s="58">
        <f>IF($D$29=0,0,E29/$D$29)</f>
        <v>1.2</v>
      </c>
      <c r="F31" s="58">
        <f>IF($D$29=0,0,F29/$D$29)</f>
        <v>1.44</v>
      </c>
      <c r="G31" s="58">
        <f>IF($D$29=0,0,G29/$D$29)</f>
        <v>1.7115156485794516</v>
      </c>
      <c r="H31" s="58">
        <f>IF($D$29=0,0,H29/$D$29)</f>
        <v>1.7599487884731584</v>
      </c>
    </row>
    <row r="32" spans="2:11" x14ac:dyDescent="0.15">
      <c r="B32" s="47"/>
      <c r="D32" s="53"/>
      <c r="E32" s="53"/>
      <c r="F32" s="53"/>
      <c r="G32" s="53"/>
      <c r="H32" s="53"/>
    </row>
    <row r="33" spans="2:11" x14ac:dyDescent="0.15">
      <c r="B33" s="59" t="s">
        <v>231</v>
      </c>
      <c r="D33" s="53"/>
      <c r="E33" s="53"/>
      <c r="F33" s="53"/>
      <c r="G33" s="53"/>
      <c r="H33" s="53"/>
    </row>
    <row r="34" spans="2:11" x14ac:dyDescent="0.15">
      <c r="B34" s="47" t="s">
        <v>226</v>
      </c>
      <c r="D34" s="60">
        <f>'Cash Flow'!H20</f>
        <v>1400</v>
      </c>
      <c r="E34" s="53"/>
      <c r="F34" s="53"/>
      <c r="G34" s="53"/>
      <c r="H34" s="53"/>
      <c r="K34" s="1" t="s">
        <v>232</v>
      </c>
    </row>
    <row r="35" spans="2:11" x14ac:dyDescent="0.15">
      <c r="B35" s="47" t="s">
        <v>227</v>
      </c>
      <c r="D35" s="62">
        <v>4</v>
      </c>
      <c r="E35" s="53" t="s">
        <v>233</v>
      </c>
      <c r="F35" s="53"/>
      <c r="G35" s="53"/>
      <c r="H35" s="53"/>
      <c r="K35" s="1" t="s">
        <v>237</v>
      </c>
    </row>
    <row r="36" spans="2:11" x14ac:dyDescent="0.15">
      <c r="B36" s="47" t="s">
        <v>234</v>
      </c>
      <c r="D36" s="53">
        <f>D34*D35</f>
        <v>5600</v>
      </c>
      <c r="E36" s="53"/>
      <c r="F36" s="53"/>
      <c r="G36" s="53"/>
      <c r="H36" s="53"/>
    </row>
    <row r="37" spans="2:11" x14ac:dyDescent="0.15">
      <c r="D37" s="53"/>
      <c r="E37" s="53"/>
      <c r="F37" s="53"/>
      <c r="G37" s="53"/>
      <c r="H37" s="53"/>
    </row>
    <row r="38" spans="2:11" x14ac:dyDescent="0.15">
      <c r="B38" s="55" t="s">
        <v>238</v>
      </c>
      <c r="D38" s="61">
        <f>IF(D29=0,0,D34/D29)</f>
        <v>0.20573293504584431</v>
      </c>
      <c r="E38" s="53" t="s">
        <v>235</v>
      </c>
      <c r="F38" s="53"/>
      <c r="G38" s="53"/>
      <c r="H38" s="53"/>
    </row>
    <row r="39" spans="2:11" x14ac:dyDescent="0.15">
      <c r="B39" s="47"/>
      <c r="D39" s="61">
        <f>IF(H29=0,0,D36/H29)</f>
        <v>0.46758845801263954</v>
      </c>
      <c r="E39" s="1" t="s">
        <v>236</v>
      </c>
    </row>
  </sheetData>
  <phoneticPr fontId="4" type="noConversion"/>
  <pageMargins left="0.75" right="0.75" top="1" bottom="1" header="0.5" footer="0.5"/>
  <pageSetup paperSize="9" scale="87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5"/>
  <sheetViews>
    <sheetView zoomScale="150" zoomScaleNormal="150" workbookViewId="0">
      <pane ySplit="1" topLeftCell="A2" activePane="bottomLeft" state="frozen"/>
      <selection activeCell="F44" sqref="F44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/>
    <col min="15" max="15" width="25.6640625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124</v>
      </c>
      <c r="N1" s="38"/>
    </row>
    <row r="2" spans="1:15" x14ac:dyDescent="0.15">
      <c r="N2" s="5"/>
    </row>
    <row r="3" spans="1:15" x14ac:dyDescent="0.15">
      <c r="E3" s="107" t="s">
        <v>16</v>
      </c>
      <c r="F3" s="107"/>
      <c r="H3" s="2"/>
      <c r="N3" s="5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3">
        <v>1</v>
      </c>
      <c r="B6" s="6" t="s">
        <v>21</v>
      </c>
      <c r="H6" s="2"/>
      <c r="N6" s="5"/>
    </row>
    <row r="7" spans="1:15" x14ac:dyDescent="0.15">
      <c r="A7" s="3">
        <v>2</v>
      </c>
      <c r="B7" s="13" t="str">
        <f>E23</f>
        <v>Baby Food</v>
      </c>
      <c r="D7" s="64">
        <f>IF($E$32="Year 1 Q1",$E$30*$D$36*0.25,0)</f>
        <v>0</v>
      </c>
      <c r="E7" s="64">
        <f>IF($E$32="Year 1 Q1",$E$30*$D$36*0.25,IF($E$32="Year 1 Q2",$E$30*$D$36*0.25,0))</f>
        <v>0</v>
      </c>
      <c r="F7" s="64">
        <f>IF($E$32="Year 1 Q1",$E$30*$D$36*0.25,IF($E$32="Year 1 Q2",$E$30*$D$36*0.25,IF($E$32="Year 1 Q3",$E$30*$D$36*0.25,0)))</f>
        <v>0</v>
      </c>
      <c r="G7" s="64">
        <f>IF($E$32="Year 1 Q1",$E$30*$D$36*0.25,IF($E$32="Year 1 Q2",$E$30*$D$36*0.25,IF($E$32="Year 1 Q3",$E$30*$D$36*0.25,IF($E$32="Year 1 Q4",$E$30*$D$36*0.25,0))))</f>
        <v>0</v>
      </c>
      <c r="H7" s="65">
        <f>SUM(D7:G7)</f>
        <v>0</v>
      </c>
      <c r="I7" s="64">
        <f>IF($E$32="Year 1 Q1",$E$30*E$36,IF($E$32="Year 1 Q2",$E$30*E$36,IF($E$32="Year 1 Q3",$E$30*E$36,IF($E$32="Year 1 Q4",$E$30*E$36,IF($E$32="Year 2",$E$30*D$36,0)))))</f>
        <v>25.3125</v>
      </c>
      <c r="J7" s="64">
        <f>IF($E$32="Year 1 Q1",$E$30*F$36,IF($E$32="Year 1 Q2",$E$30*F$36,IF($E$32="Year 1 Q3",$E$30*F$36,IF($E$32="Year 1 Q4",$E$30*F$36,IF($E$32="Year 2",$E$30*E$36,IF($E$32="Year 3",$E$30*D$36,0))))))</f>
        <v>37.125</v>
      </c>
      <c r="K7" s="64">
        <f>IF($E$32="Year 1 Q1",$E$30*G$36,IF($E$32="Year 1 Q2",$E$30*G$36,IF($E$32="Year 1 Q3",$E$30*G$36,IF($E$32="Year 1 Q4",$E$30*G$36,IF($E$32="Year 2",$E$30*F$36,IF($E$32="Year 3",$E$30*E$36,IF($E$32="Year 4",$E$30*D$36,0)))))))</f>
        <v>43.875</v>
      </c>
      <c r="L7" s="64">
        <f>IF($E$32="Year 1 Q1",$E$30*H$36,IF($E$32="Year 1 Q2",$E$30*H$36,IF($E$32="Year 1 Q3",$E$30*H$36,IF($E$32="Year 1 Q4",$E$30*H$36,IF($E$32="Year 2",$E$30*G$36,IF($E$32="Year 3",$E$30*F$36,IF($E$32="Year 4",$E$30*E$36,IF($E$32="Year 5",$E$30*D$36,0))))))))</f>
        <v>37.125</v>
      </c>
      <c r="N7" s="5"/>
    </row>
    <row r="8" spans="1:15" x14ac:dyDescent="0.15">
      <c r="A8" s="3">
        <v>3</v>
      </c>
      <c r="B8" s="13" t="str">
        <f>G23</f>
        <v>Soup</v>
      </c>
      <c r="D8" s="64">
        <f>IF($G$32="Year 1 Q1",$G$30*$D$36*0.25,0)</f>
        <v>0</v>
      </c>
      <c r="E8" s="64">
        <f>IF($G$32="Year 1 Q1",$G$30*$D$36*0.25,IF($G$32="Year 1 Q2",$G$30*$D$36*0.25,0))</f>
        <v>0</v>
      </c>
      <c r="F8" s="64">
        <f>IF($G$32="Year 1 Q1",$G$30*$D$36*0.25,IF($G$32="Year 1 Q2",$G$30*$D$36*0.25,IF($G$32="Year 1 Q3",$G$30*$D$36*0.25,0)))</f>
        <v>0</v>
      </c>
      <c r="G8" s="64">
        <f>IF($G$32="Year 1 Q1",$G$30*$D$36*0.25,IF($G$32="Year 1 Q2",$G$30*$D$36*0.25,IF($G$32="Year 1 Q3",$G$30*$D$36*0.25,IF($G$32="Year 1 Q4",$G$30*$D$36*0.25,0))))</f>
        <v>0</v>
      </c>
      <c r="H8" s="65">
        <f>SUM(D8:G8)</f>
        <v>0</v>
      </c>
      <c r="I8" s="64">
        <f>IF($G$32="Year 1 Q1",$G$30*E$36,IF($G$32="Year 1 Q2",$G$30*E$36,IF($G$32="Year 1 Q3",$G$30*E$36,IF($G$32="Year 1 Q4",$G$30*E$36,IF($G$32="Year 2",$G$30*D$36,0)))))</f>
        <v>0</v>
      </c>
      <c r="J8" s="64">
        <f>IF($G$32="Year 1 Q1",$G$30*F$36,IF($G$32="Year 1 Q2",$G$30*F$36,IF($G$32="Year 1 Q3",$G$30*F$36,IF($G$32="Year 1 Q4",$G$30*F$36,IF($G$32="Year 2",$G$30*E$36,IF($G$32="Year 3",$G$30*D$36,0))))))</f>
        <v>60.75</v>
      </c>
      <c r="K8" s="64">
        <f>IF($G$32="Year 1 Q1",$G$30*G$36,IF($G$32="Year 1 Q2",$G$30*G$36,IF($G$32="Year 1 Q3",$G$30*G$36,IF($G$32="Year 1 Q4",$G$30*G$36,IF($G$32="Year 2",$G$30*F$36,IF($G$32="Year 3",$G$30*E$36,IF($G$32="Year 4",$G$30*D$36,0)))))))</f>
        <v>89.1</v>
      </c>
      <c r="L8" s="64">
        <f>IF($G$32="Year 1 Q1",$G$30*H$36,IF($G$32="Year 1 Q2",$G$30*H$36,IF($G$32="Year 1 Q3",$G$30*H$36,IF($G$32="Year 1 Q4",$G$30*H$36,IF($G$32="Year 2",$G$30*G$36,IF($G$32="Year 3",$G$30*F$36,IF($G$32="Year 4",$G$30*E$36,IF($G$32="Year 5",$G$30*D$36,0))))))))</f>
        <v>105.3</v>
      </c>
    </row>
    <row r="9" spans="1:15" x14ac:dyDescent="0.15">
      <c r="A9" s="3">
        <v>4</v>
      </c>
      <c r="B9" s="13" t="str">
        <f>I23</f>
        <v>Preserves</v>
      </c>
      <c r="D9" s="64">
        <f>IF($I$32="Year 1 Q1",$I$30*$D$36*0.25,0)</f>
        <v>0</v>
      </c>
      <c r="E9" s="64">
        <f>IF($I$32="Year 1 Q1",$I$30*$D$36*0.25,IF($I$32="Year 1 Q2",$I$30*$D$36*0.25,0))</f>
        <v>0</v>
      </c>
      <c r="F9" s="64">
        <f>IF($I$32="Year 1 Q1",$I$30*$D$36*0.25,IF($I$32="Year 1 Q2",$I$30*$D$36*0.25,IF($I$32="Year 1 Q3",$I$30*$D$36*0.25,0)))</f>
        <v>0</v>
      </c>
      <c r="G9" s="64">
        <f>IF($I$32="Year 1 Q1",$I$30*$D$36*0.25,IF($I$32="Year 1 Q2",$I$30*$D$36*0.25,IF($I$32="Year 1 Q3",$I$30*$D$36*0.25,IF($I$32="Year 1 Q4",$I$30*$D$36*0.25,0))))</f>
        <v>0</v>
      </c>
      <c r="H9" s="65">
        <f>SUM(D9:G9)</f>
        <v>0</v>
      </c>
      <c r="I9" s="64">
        <f>IF($I$32="Year 1 Q1",$I$30*E$36,IF($I$32="Year 1 Q2",$I$30*E$36,IF($I$32="Year 1 Q3",$I$30*E$36,IF($I$32="Year 1 Q4",$I$30*E$36,IF($I$32="Year 2",$I$30*D$36,0)))))</f>
        <v>0</v>
      </c>
      <c r="J9" s="64">
        <f>IF($I$32="Year 1 Q1",$I$30*F$36,IF($I$32="Year 1 Q2",$I$30*F$36,IF($I$32="Year 1 Q3",$I$30*F$36,IF($I$32="Year 1 Q4",$I$30*F$36,IF($I$32="Year 2",$I$30*E$36,IF($I$32="Year 3",$I$30*D$36,0))))))</f>
        <v>0</v>
      </c>
      <c r="K9" s="64">
        <f>IF($I$32="Year 1 Q1",$I$30*G$36,IF($I$32="Year 1 Q2",$I$30*G$36,IF($I$32="Year 1 Q3",$I$30*G$36,IF($I$32="Year 1 Q4",$I$30*G$36,IF($I$32="Year 2",$I$30*F$36,IF($I$32="Year 3",$I$30*E$36,IF($I$32="Year 4",$I$30*D$36,0)))))))</f>
        <v>162</v>
      </c>
      <c r="L9" s="64">
        <f>IF($I$32="Year 1 Q1",$I$30*H$36,IF($I$32="Year 1 Q2",$I$30*H$36,IF($I$32="Year 1 Q3",$I$30*H$36,IF($I$32="Year 1 Q4",$I$30*H$36,IF($I$32="Year 2",$I$30*G$36,IF($I$32="Year 3",$I$30*F$36,IF($I$32="Year 4",$I$30*E$36,IF($I$32="Year 5",$I$30*D$36,0))))))))</f>
        <v>237.6</v>
      </c>
    </row>
    <row r="10" spans="1:15" x14ac:dyDescent="0.15">
      <c r="A10" s="3">
        <v>5</v>
      </c>
      <c r="B10" s="13"/>
      <c r="D10" s="16"/>
      <c r="E10" s="16"/>
      <c r="F10" s="16"/>
      <c r="G10" s="16"/>
      <c r="H10" s="2"/>
      <c r="I10" s="66"/>
      <c r="J10" s="66"/>
      <c r="K10" s="66"/>
      <c r="L10" s="66"/>
    </row>
    <row r="11" spans="1:15" ht="14" thickBot="1" x14ac:dyDescent="0.2">
      <c r="A11" s="3">
        <v>6</v>
      </c>
      <c r="B11" s="6" t="s">
        <v>128</v>
      </c>
      <c r="D11" s="67">
        <f>SUM(D7:D10)</f>
        <v>0</v>
      </c>
      <c r="E11" s="67">
        <f>SUM(E7:E10)</f>
        <v>0</v>
      </c>
      <c r="F11" s="67">
        <f>SUM(F7:F10)</f>
        <v>0</v>
      </c>
      <c r="G11" s="67">
        <f>SUM(G7:G10)</f>
        <v>0</v>
      </c>
      <c r="H11" s="68">
        <f>SUM(D11:G11)</f>
        <v>0</v>
      </c>
      <c r="I11" s="67">
        <f>SUM(I7:I10)</f>
        <v>25.3125</v>
      </c>
      <c r="J11" s="67">
        <f>SUM(J7:J10)</f>
        <v>97.875</v>
      </c>
      <c r="K11" s="67">
        <f>SUM(K7:K10)</f>
        <v>294.97500000000002</v>
      </c>
      <c r="L11" s="67">
        <f>SUM(L7:L10)</f>
        <v>380.02499999999998</v>
      </c>
    </row>
    <row r="12" spans="1:15" x14ac:dyDescent="0.15">
      <c r="A12" s="3">
        <v>7</v>
      </c>
      <c r="B12" s="69"/>
      <c r="H12" s="2"/>
    </row>
    <row r="13" spans="1:15" x14ac:dyDescent="0.15">
      <c r="A13" s="3">
        <v>8</v>
      </c>
      <c r="B13" s="6" t="s">
        <v>1</v>
      </c>
      <c r="H13" s="2"/>
    </row>
    <row r="14" spans="1:15" x14ac:dyDescent="0.15">
      <c r="A14" s="3">
        <v>9</v>
      </c>
      <c r="B14" s="13" t="str">
        <f>B7</f>
        <v>Baby Food</v>
      </c>
      <c r="D14" s="70">
        <f t="shared" ref="D14:G16" si="0">D7*$N14/1000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65">
        <f>SUM(D14:G14)</f>
        <v>0</v>
      </c>
      <c r="I14" s="70">
        <f t="shared" ref="I14:L16" si="1">I7*$N14/1000</f>
        <v>759.375</v>
      </c>
      <c r="J14" s="70">
        <f t="shared" si="1"/>
        <v>1113.75</v>
      </c>
      <c r="K14" s="70">
        <f t="shared" si="1"/>
        <v>1316.25</v>
      </c>
      <c r="L14" s="70">
        <f t="shared" si="1"/>
        <v>1113.75</v>
      </c>
      <c r="M14" s="71"/>
      <c r="N14" s="85">
        <v>30000</v>
      </c>
      <c r="O14" s="1" t="s">
        <v>166</v>
      </c>
    </row>
    <row r="15" spans="1:15" x14ac:dyDescent="0.15">
      <c r="A15" s="3">
        <v>10</v>
      </c>
      <c r="B15" s="13" t="str">
        <f>B8</f>
        <v>Soup</v>
      </c>
      <c r="D15" s="70">
        <f t="shared" si="0"/>
        <v>0</v>
      </c>
      <c r="E15" s="70">
        <f t="shared" si="0"/>
        <v>0</v>
      </c>
      <c r="F15" s="70">
        <f t="shared" si="0"/>
        <v>0</v>
      </c>
      <c r="G15" s="70">
        <f t="shared" si="0"/>
        <v>0</v>
      </c>
      <c r="H15" s="65">
        <f>SUM(D15:G15)</f>
        <v>0</v>
      </c>
      <c r="I15" s="70">
        <f t="shared" si="1"/>
        <v>0</v>
      </c>
      <c r="J15" s="70">
        <f t="shared" si="1"/>
        <v>1640.25</v>
      </c>
      <c r="K15" s="70">
        <f t="shared" si="1"/>
        <v>2405.6999999999998</v>
      </c>
      <c r="L15" s="70">
        <f t="shared" si="1"/>
        <v>2843.1</v>
      </c>
      <c r="M15" s="71"/>
      <c r="N15" s="85">
        <v>27000</v>
      </c>
      <c r="O15" s="1" t="s">
        <v>166</v>
      </c>
    </row>
    <row r="16" spans="1:15" x14ac:dyDescent="0.15">
      <c r="A16" s="3">
        <v>11</v>
      </c>
      <c r="B16" s="13" t="str">
        <f>B9</f>
        <v>Preserves</v>
      </c>
      <c r="D16" s="72">
        <f t="shared" si="0"/>
        <v>0</v>
      </c>
      <c r="E16" s="72">
        <f t="shared" si="0"/>
        <v>0</v>
      </c>
      <c r="F16" s="72">
        <f t="shared" si="0"/>
        <v>0</v>
      </c>
      <c r="G16" s="72">
        <f t="shared" si="0"/>
        <v>0</v>
      </c>
      <c r="H16" s="73">
        <f>SUM(D16:G16)</f>
        <v>0</v>
      </c>
      <c r="I16" s="72">
        <f t="shared" si="1"/>
        <v>0</v>
      </c>
      <c r="J16" s="72">
        <f t="shared" si="1"/>
        <v>0</v>
      </c>
      <c r="K16" s="72">
        <f t="shared" si="1"/>
        <v>4050</v>
      </c>
      <c r="L16" s="72">
        <f t="shared" si="1"/>
        <v>5940</v>
      </c>
      <c r="M16" s="71"/>
      <c r="N16" s="85">
        <v>25000</v>
      </c>
      <c r="O16" s="1" t="s">
        <v>166</v>
      </c>
    </row>
    <row r="17" spans="1:16" x14ac:dyDescent="0.15">
      <c r="A17" s="3">
        <v>12</v>
      </c>
      <c r="B17" s="69" t="s">
        <v>31</v>
      </c>
      <c r="D17" s="64">
        <f>SUM(D14:D16)</f>
        <v>0</v>
      </c>
      <c r="E17" s="64">
        <f>SUM(E14:E16)</f>
        <v>0</v>
      </c>
      <c r="F17" s="64">
        <f>SUM(F14:F16)</f>
        <v>0</v>
      </c>
      <c r="G17" s="64">
        <f>SUM(G14:G16)</f>
        <v>0</v>
      </c>
      <c r="H17" s="65">
        <f>SUM(D17:G17)</f>
        <v>0</v>
      </c>
      <c r="I17" s="64">
        <f>SUM(I14:I16)</f>
        <v>759.375</v>
      </c>
      <c r="J17" s="64">
        <f>SUM(J14:J16)</f>
        <v>2754</v>
      </c>
      <c r="K17" s="64">
        <f>SUM(K14:K16)</f>
        <v>7771.95</v>
      </c>
      <c r="L17" s="64">
        <f>SUM(L14:L16)</f>
        <v>9896.85</v>
      </c>
    </row>
    <row r="18" spans="1:16" x14ac:dyDescent="0.15">
      <c r="A18" s="3">
        <v>17</v>
      </c>
      <c r="H18" s="2"/>
    </row>
    <row r="19" spans="1:16" ht="14" thickBot="1" x14ac:dyDescent="0.2">
      <c r="A19" s="3">
        <v>18</v>
      </c>
      <c r="B19" s="6" t="s">
        <v>0</v>
      </c>
      <c r="D19" s="67">
        <f>D17</f>
        <v>0</v>
      </c>
      <c r="E19" s="67">
        <f t="shared" ref="E19:L19" si="2">E17</f>
        <v>0</v>
      </c>
      <c r="F19" s="67">
        <f t="shared" si="2"/>
        <v>0</v>
      </c>
      <c r="G19" s="67">
        <f t="shared" si="2"/>
        <v>0</v>
      </c>
      <c r="H19" s="68">
        <f t="shared" si="2"/>
        <v>0</v>
      </c>
      <c r="I19" s="67">
        <f t="shared" si="2"/>
        <v>759.375</v>
      </c>
      <c r="J19" s="67">
        <f t="shared" si="2"/>
        <v>2754</v>
      </c>
      <c r="K19" s="67">
        <f t="shared" si="2"/>
        <v>7771.95</v>
      </c>
      <c r="L19" s="67">
        <f t="shared" si="2"/>
        <v>9896.85</v>
      </c>
    </row>
    <row r="20" spans="1:16" x14ac:dyDescent="0.15">
      <c r="A20" s="3">
        <v>19</v>
      </c>
    </row>
    <row r="21" spans="1:16" x14ac:dyDescent="0.15">
      <c r="A21" s="3">
        <v>20</v>
      </c>
    </row>
    <row r="22" spans="1:16" x14ac:dyDescent="0.15">
      <c r="A22" s="3">
        <v>21</v>
      </c>
      <c r="E22" s="46" t="s">
        <v>156</v>
      </c>
      <c r="F22" s="6"/>
      <c r="G22" s="46" t="s">
        <v>157</v>
      </c>
      <c r="H22" s="6"/>
      <c r="I22" s="46" t="s">
        <v>158</v>
      </c>
    </row>
    <row r="23" spans="1:16" x14ac:dyDescent="0.15">
      <c r="A23" s="3">
        <v>22</v>
      </c>
      <c r="D23" s="47" t="s">
        <v>175</v>
      </c>
      <c r="E23" s="84" t="s">
        <v>240</v>
      </c>
      <c r="G23" s="84" t="s">
        <v>239</v>
      </c>
      <c r="I23" s="84" t="s">
        <v>241</v>
      </c>
    </row>
    <row r="24" spans="1:16" x14ac:dyDescent="0.15">
      <c r="A24" s="3">
        <v>23</v>
      </c>
      <c r="B24" s="59" t="s">
        <v>160</v>
      </c>
    </row>
    <row r="25" spans="1:16" x14ac:dyDescent="0.15">
      <c r="A25" s="3">
        <v>24</v>
      </c>
      <c r="B25" s="47" t="s">
        <v>161</v>
      </c>
      <c r="E25" s="86">
        <v>1000</v>
      </c>
      <c r="G25" s="86">
        <v>3000</v>
      </c>
      <c r="I25" s="86">
        <v>10000</v>
      </c>
    </row>
    <row r="26" spans="1:16" x14ac:dyDescent="0.15">
      <c r="A26" s="3">
        <v>25</v>
      </c>
      <c r="B26" s="47" t="s">
        <v>162</v>
      </c>
      <c r="C26" s="49"/>
      <c r="D26" s="63">
        <v>0.5</v>
      </c>
      <c r="E26" s="64">
        <f>E25*D26</f>
        <v>500</v>
      </c>
      <c r="F26" s="63">
        <v>0.5</v>
      </c>
      <c r="G26" s="64">
        <f>G25*F26</f>
        <v>1500</v>
      </c>
      <c r="H26" s="63">
        <v>0.4</v>
      </c>
      <c r="I26" s="74">
        <f>I25*H26</f>
        <v>4000</v>
      </c>
    </row>
    <row r="27" spans="1:16" x14ac:dyDescent="0.15">
      <c r="A27" s="3">
        <v>26</v>
      </c>
      <c r="B27" s="47" t="s">
        <v>163</v>
      </c>
      <c r="C27" s="49"/>
      <c r="D27" s="63">
        <v>0.5</v>
      </c>
      <c r="E27" s="64">
        <f t="shared" ref="E27:I29" si="3">E26*D27</f>
        <v>250</v>
      </c>
      <c r="F27" s="63">
        <v>0.4</v>
      </c>
      <c r="G27" s="64">
        <f t="shared" si="3"/>
        <v>600</v>
      </c>
      <c r="H27" s="63">
        <v>0.4</v>
      </c>
      <c r="I27" s="74">
        <f t="shared" si="3"/>
        <v>1600</v>
      </c>
    </row>
    <row r="28" spans="1:16" x14ac:dyDescent="0.15">
      <c r="A28" s="3">
        <v>27</v>
      </c>
      <c r="B28" s="47" t="s">
        <v>164</v>
      </c>
      <c r="C28" s="49"/>
      <c r="D28" s="63">
        <v>0.75</v>
      </c>
      <c r="E28" s="64">
        <f t="shared" si="3"/>
        <v>187.5</v>
      </c>
      <c r="F28" s="63">
        <v>0.75</v>
      </c>
      <c r="G28" s="64">
        <f t="shared" si="3"/>
        <v>450</v>
      </c>
      <c r="H28" s="63">
        <v>0.75</v>
      </c>
      <c r="I28" s="74">
        <f t="shared" si="3"/>
        <v>1200</v>
      </c>
    </row>
    <row r="29" spans="1:16" x14ac:dyDescent="0.15">
      <c r="A29" s="3">
        <v>28</v>
      </c>
      <c r="B29" s="75" t="s">
        <v>165</v>
      </c>
      <c r="C29" s="76"/>
      <c r="D29" s="63">
        <v>0.9</v>
      </c>
      <c r="E29" s="72">
        <f t="shared" si="3"/>
        <v>168.75</v>
      </c>
      <c r="F29" s="63">
        <v>0.9</v>
      </c>
      <c r="G29" s="72">
        <f t="shared" si="3"/>
        <v>405</v>
      </c>
      <c r="H29" s="63">
        <v>0.9</v>
      </c>
      <c r="I29" s="77">
        <f t="shared" si="3"/>
        <v>1080</v>
      </c>
    </row>
    <row r="30" spans="1:16" x14ac:dyDescent="0.15">
      <c r="A30" s="3">
        <v>29</v>
      </c>
      <c r="B30" s="47" t="s">
        <v>174</v>
      </c>
      <c r="E30" s="64">
        <f>E29</f>
        <v>168.75</v>
      </c>
      <c r="G30" s="64">
        <f>G29</f>
        <v>405</v>
      </c>
      <c r="I30" s="64">
        <f>I29</f>
        <v>1080</v>
      </c>
    </row>
    <row r="31" spans="1:16" x14ac:dyDescent="0.15">
      <c r="A31" s="3">
        <v>30</v>
      </c>
      <c r="B31" s="47"/>
      <c r="E31" s="53"/>
      <c r="G31" s="53"/>
      <c r="I31" s="53"/>
      <c r="P31" s="78" t="s">
        <v>173</v>
      </c>
    </row>
    <row r="32" spans="1:16" x14ac:dyDescent="0.15">
      <c r="A32" s="3">
        <v>31</v>
      </c>
      <c r="B32" s="55" t="s">
        <v>168</v>
      </c>
      <c r="E32" s="87" t="s">
        <v>17</v>
      </c>
      <c r="G32" s="87" t="s">
        <v>18</v>
      </c>
      <c r="I32" s="87" t="s">
        <v>19</v>
      </c>
      <c r="P32" s="78" t="s">
        <v>169</v>
      </c>
    </row>
    <row r="33" spans="1:16" x14ac:dyDescent="0.15">
      <c r="A33" s="3">
        <v>32</v>
      </c>
      <c r="B33" s="47"/>
      <c r="E33" s="53"/>
      <c r="G33" s="53"/>
      <c r="I33" s="53"/>
      <c r="P33" s="78" t="s">
        <v>170</v>
      </c>
    </row>
    <row r="34" spans="1:16" x14ac:dyDescent="0.15">
      <c r="A34" s="3">
        <v>33</v>
      </c>
      <c r="B34" s="47"/>
      <c r="E34" s="53"/>
      <c r="G34" s="53"/>
      <c r="I34" s="53"/>
      <c r="P34" s="78" t="s">
        <v>171</v>
      </c>
    </row>
    <row r="35" spans="1:16" x14ac:dyDescent="0.15">
      <c r="A35" s="3">
        <v>34</v>
      </c>
      <c r="B35" s="6" t="s">
        <v>167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20</v>
      </c>
      <c r="I35" s="79" t="s">
        <v>242</v>
      </c>
      <c r="P35" s="78" t="s">
        <v>172</v>
      </c>
    </row>
    <row r="36" spans="1:16" x14ac:dyDescent="0.15">
      <c r="A36" s="3">
        <v>35</v>
      </c>
      <c r="D36" s="63">
        <v>0.15</v>
      </c>
      <c r="E36" s="63">
        <v>0.22</v>
      </c>
      <c r="F36" s="63">
        <v>0.26</v>
      </c>
      <c r="G36" s="63">
        <v>0.22</v>
      </c>
      <c r="H36" s="88">
        <v>0.15</v>
      </c>
      <c r="I36" s="80">
        <f>SUM(D36:H36)</f>
        <v>1</v>
      </c>
      <c r="P36" s="78" t="s">
        <v>17</v>
      </c>
    </row>
    <row r="37" spans="1:16" x14ac:dyDescent="0.15">
      <c r="A37" s="3">
        <v>36</v>
      </c>
      <c r="B37" s="47"/>
      <c r="E37" s="53"/>
      <c r="G37" s="53"/>
      <c r="I37" s="81"/>
      <c r="P37" s="78" t="s">
        <v>18</v>
      </c>
    </row>
    <row r="38" spans="1:16" x14ac:dyDescent="0.15">
      <c r="A38" s="3">
        <v>37</v>
      </c>
      <c r="B38" s="47" t="str">
        <f>E23</f>
        <v>Baby Food</v>
      </c>
      <c r="D38" s="82">
        <f>$E$30*D$36</f>
        <v>25.3125</v>
      </c>
      <c r="E38" s="82">
        <f>$E$30*E36</f>
        <v>37.125</v>
      </c>
      <c r="F38" s="82">
        <f>$E$30*F36</f>
        <v>43.875</v>
      </c>
      <c r="G38" s="82">
        <f>$E$30*G36</f>
        <v>37.125</v>
      </c>
      <c r="H38" s="82">
        <f>$E$30*H36</f>
        <v>25.3125</v>
      </c>
      <c r="I38" s="81">
        <f>SUM(D38:H38)</f>
        <v>168.75</v>
      </c>
      <c r="P38" s="78" t="s">
        <v>19</v>
      </c>
    </row>
    <row r="39" spans="1:16" x14ac:dyDescent="0.15">
      <c r="A39" s="3">
        <v>38</v>
      </c>
      <c r="B39" s="83" t="str">
        <f>G23</f>
        <v>Soup</v>
      </c>
      <c r="D39" s="82">
        <f>$G$30*D$36</f>
        <v>60.75</v>
      </c>
      <c r="E39" s="82">
        <f>$G$30*E$36</f>
        <v>89.1</v>
      </c>
      <c r="F39" s="82">
        <f>$G$30*F$36</f>
        <v>105.3</v>
      </c>
      <c r="G39" s="82">
        <f>$G$30*G$36</f>
        <v>89.1</v>
      </c>
      <c r="H39" s="82">
        <f>$G$30*H$36</f>
        <v>60.75</v>
      </c>
      <c r="I39" s="81">
        <f>SUM(D39:H39)</f>
        <v>405</v>
      </c>
      <c r="P39" s="78" t="s">
        <v>20</v>
      </c>
    </row>
    <row r="40" spans="1:16" x14ac:dyDescent="0.15">
      <c r="A40" s="3">
        <v>39</v>
      </c>
      <c r="B40" s="83" t="str">
        <f>I23</f>
        <v>Preserves</v>
      </c>
      <c r="D40" s="82">
        <f>$I$30*D$36</f>
        <v>162</v>
      </c>
      <c r="E40" s="82">
        <f>$I$30*E$36</f>
        <v>237.6</v>
      </c>
      <c r="F40" s="82">
        <f>$I$30*F$36</f>
        <v>280.8</v>
      </c>
      <c r="G40" s="82">
        <f>$I$30*G$36</f>
        <v>237.6</v>
      </c>
      <c r="H40" s="82">
        <f>$I$30*H$36</f>
        <v>162</v>
      </c>
      <c r="I40" s="81">
        <f>SUM(D40:H40)</f>
        <v>1080</v>
      </c>
    </row>
    <row r="41" spans="1:16" x14ac:dyDescent="0.15">
      <c r="A41" s="5"/>
    </row>
    <row r="42" spans="1:16" x14ac:dyDescent="0.15">
      <c r="A42" s="5"/>
      <c r="D42" s="49"/>
    </row>
    <row r="43" spans="1:16" x14ac:dyDescent="0.15">
      <c r="A43" s="5"/>
      <c r="D43" s="49"/>
    </row>
    <row r="44" spans="1:16" x14ac:dyDescent="0.15">
      <c r="A44" s="5"/>
      <c r="D44" s="49"/>
    </row>
    <row r="45" spans="1:16" x14ac:dyDescent="0.15">
      <c r="A45" s="5"/>
      <c r="D45" s="49"/>
    </row>
  </sheetData>
  <mergeCells count="1">
    <mergeCell ref="E3:F3"/>
  </mergeCells>
  <phoneticPr fontId="4" type="noConversion"/>
  <dataValidations count="1">
    <dataValidation type="list" allowBlank="1" showInputMessage="1" showErrorMessage="1" sqref="E32 G32 I32" xr:uid="{00000000-0002-0000-0300-000000000000}">
      <formula1>$P$31:$P$39</formula1>
    </dataValidation>
  </dataValidations>
  <pageMargins left="0.75" right="0.75" top="1" bottom="1" header="0.5" footer="0.5"/>
  <pageSetup paperSize="9" scale="58" orientation="landscape"/>
  <headerFooter alignWithMargins="0"/>
  <ignoredErrors>
    <ignoredError sqref="H14:H17 H1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7"/>
  <sheetViews>
    <sheetView zoomScale="150" zoomScaleNormal="150" workbookViewId="0">
      <pane ySplit="1" topLeftCell="A2" activePane="bottomLeft" state="frozen"/>
      <selection sqref="A1:O59"/>
      <selection pane="bottomLeft" activeCell="O26" sqref="O26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/>
    <col min="15" max="15" width="19.5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2</v>
      </c>
      <c r="N1" s="38"/>
    </row>
    <row r="2" spans="1:15" x14ac:dyDescent="0.15">
      <c r="N2" s="5"/>
    </row>
    <row r="3" spans="1:15" x14ac:dyDescent="0.15">
      <c r="E3" s="107" t="s">
        <v>16</v>
      </c>
      <c r="F3" s="107"/>
      <c r="H3" s="2"/>
      <c r="N3" s="5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5">
        <v>1</v>
      </c>
      <c r="B6" s="6" t="s">
        <v>125</v>
      </c>
      <c r="H6" s="2"/>
      <c r="N6" s="5"/>
    </row>
    <row r="7" spans="1:15" x14ac:dyDescent="0.15">
      <c r="A7" s="5">
        <v>2</v>
      </c>
      <c r="B7" s="13" t="str">
        <f>'Sales Summary'!E$23</f>
        <v>Baby Food</v>
      </c>
      <c r="D7" s="7">
        <f>'Sales Summary'!D7*'Cost of Sales'!$N7/1000</f>
        <v>0</v>
      </c>
      <c r="E7" s="7">
        <f>'Sales Summary'!E7*'Cost of Sales'!$N7/1000</f>
        <v>0</v>
      </c>
      <c r="F7" s="7">
        <f>'Sales Summary'!F7*'Cost of Sales'!$N7/1000</f>
        <v>0</v>
      </c>
      <c r="G7" s="7">
        <f>'Sales Summary'!G7*'Cost of Sales'!$N7/1000</f>
        <v>0</v>
      </c>
      <c r="H7" s="8">
        <f>SUM(D7:G7)</f>
        <v>0</v>
      </c>
      <c r="I7" s="7">
        <f>'Sales Summary'!I7*'Cost of Sales'!$N7/1000</f>
        <v>253.125</v>
      </c>
      <c r="J7" s="7">
        <f>'Sales Summary'!J7*'Cost of Sales'!$N7/1000</f>
        <v>371.25</v>
      </c>
      <c r="K7" s="7">
        <f>'Sales Summary'!K7*'Cost of Sales'!$N7/1000</f>
        <v>438.75</v>
      </c>
      <c r="L7" s="7">
        <f>'Sales Summary'!L7*'Cost of Sales'!$N7/1000</f>
        <v>371.25</v>
      </c>
      <c r="N7" s="92">
        <v>10000</v>
      </c>
      <c r="O7" s="1" t="s">
        <v>166</v>
      </c>
    </row>
    <row r="8" spans="1:15" x14ac:dyDescent="0.15">
      <c r="A8" s="5">
        <v>3</v>
      </c>
      <c r="B8" s="13" t="str">
        <f>'Sales Summary'!G$23</f>
        <v>Soup</v>
      </c>
      <c r="D8" s="7">
        <f>'Sales Summary'!D8*'Cost of Sales'!$N8/1000</f>
        <v>0</v>
      </c>
      <c r="E8" s="7">
        <f>'Sales Summary'!E8*'Cost of Sales'!$N8/1000</f>
        <v>0</v>
      </c>
      <c r="F8" s="7">
        <f>'Sales Summary'!F8*'Cost of Sales'!$N8/1000</f>
        <v>0</v>
      </c>
      <c r="G8" s="7">
        <f>'Sales Summary'!G8*'Cost of Sales'!$N8/1000</f>
        <v>0</v>
      </c>
      <c r="H8" s="8">
        <f>SUM(D8:G8)</f>
        <v>0</v>
      </c>
      <c r="I8" s="7">
        <f>'Sales Summary'!I8*'Cost of Sales'!$N8/1000</f>
        <v>0</v>
      </c>
      <c r="J8" s="7">
        <f>'Sales Summary'!J8*'Cost of Sales'!$N8/1000</f>
        <v>607.5</v>
      </c>
      <c r="K8" s="7">
        <f>'Sales Summary'!K8*'Cost of Sales'!$N8/1000</f>
        <v>891</v>
      </c>
      <c r="L8" s="7">
        <f>'Sales Summary'!L8*'Cost of Sales'!$N8/1000</f>
        <v>1053</v>
      </c>
      <c r="N8" s="92">
        <v>10000</v>
      </c>
      <c r="O8" s="1" t="s">
        <v>166</v>
      </c>
    </row>
    <row r="9" spans="1:15" x14ac:dyDescent="0.15">
      <c r="A9" s="5">
        <v>4</v>
      </c>
      <c r="B9" s="13" t="str">
        <f>'Sales Summary'!I$23</f>
        <v>Preserves</v>
      </c>
      <c r="D9" s="7">
        <f>'Sales Summary'!D9*'Cost of Sales'!$N9/1000</f>
        <v>0</v>
      </c>
      <c r="E9" s="7">
        <f>'Sales Summary'!E9*'Cost of Sales'!$N9/1000</f>
        <v>0</v>
      </c>
      <c r="F9" s="7">
        <f>'Sales Summary'!F9*'Cost of Sales'!$N9/1000</f>
        <v>0</v>
      </c>
      <c r="G9" s="7">
        <f>'Sales Summary'!G9*'Cost of Sales'!$N9/1000</f>
        <v>0</v>
      </c>
      <c r="H9" s="8">
        <f>SUM(D9:G9)</f>
        <v>0</v>
      </c>
      <c r="I9" s="7">
        <f>'Sales Summary'!I9*'Cost of Sales'!$N9/1000</f>
        <v>0</v>
      </c>
      <c r="J9" s="7">
        <f>'Sales Summary'!J9*'Cost of Sales'!$N9/1000</f>
        <v>0</v>
      </c>
      <c r="K9" s="7">
        <f>'Sales Summary'!K9*'Cost of Sales'!$N9/1000</f>
        <v>1620</v>
      </c>
      <c r="L9" s="7">
        <f>'Sales Summary'!L9*'Cost of Sales'!$N9/1000</f>
        <v>2376</v>
      </c>
      <c r="N9" s="92">
        <v>10000</v>
      </c>
      <c r="O9" s="1" t="s">
        <v>166</v>
      </c>
    </row>
    <row r="10" spans="1:15" x14ac:dyDescent="0.15">
      <c r="A10" s="5">
        <v>5</v>
      </c>
      <c r="B10" s="13"/>
      <c r="D10" s="7"/>
      <c r="E10" s="7"/>
      <c r="F10" s="7"/>
      <c r="G10" s="7"/>
      <c r="H10" s="8"/>
      <c r="I10" s="7"/>
      <c r="J10" s="7"/>
      <c r="K10" s="7"/>
      <c r="L10" s="7"/>
    </row>
    <row r="11" spans="1:15" x14ac:dyDescent="0.15">
      <c r="A11" s="5">
        <v>6</v>
      </c>
      <c r="B11" s="6" t="s">
        <v>159</v>
      </c>
      <c r="D11" s="7"/>
      <c r="E11" s="7"/>
      <c r="F11" s="7"/>
      <c r="G11" s="7"/>
      <c r="H11" s="8"/>
      <c r="I11" s="7"/>
      <c r="J11" s="7"/>
      <c r="K11" s="7"/>
      <c r="L11" s="7"/>
    </row>
    <row r="12" spans="1:15" x14ac:dyDescent="0.15">
      <c r="A12" s="5">
        <v>7</v>
      </c>
      <c r="B12" s="13" t="str">
        <f>B7</f>
        <v>Baby Food</v>
      </c>
      <c r="D12" s="7">
        <f>'Sales Summary'!D7*'Cost of Sales'!$N12/1000</f>
        <v>0</v>
      </c>
      <c r="E12" s="7">
        <f>'Sales Summary'!E7*'Cost of Sales'!$N12/1000</f>
        <v>0</v>
      </c>
      <c r="F12" s="7">
        <f>'Sales Summary'!F7*'Cost of Sales'!$N12/1000</f>
        <v>0</v>
      </c>
      <c r="G12" s="7">
        <f>'Sales Summary'!G7*'Cost of Sales'!$N12/1000</f>
        <v>0</v>
      </c>
      <c r="H12" s="8">
        <f>SUM(D12:G12)</f>
        <v>0</v>
      </c>
      <c r="I12" s="7">
        <f>'Sales Summary'!I7*'Cost of Sales'!$N12/1000</f>
        <v>50.625</v>
      </c>
      <c r="J12" s="7">
        <f>'Sales Summary'!J7*'Cost of Sales'!$N12/1000</f>
        <v>74.25</v>
      </c>
      <c r="K12" s="7">
        <f>'Sales Summary'!K7*'Cost of Sales'!$N12/1000</f>
        <v>87.75</v>
      </c>
      <c r="L12" s="7">
        <f>'Sales Summary'!L7*'Cost of Sales'!$N12/1000</f>
        <v>74.25</v>
      </c>
      <c r="N12" s="92">
        <v>2000</v>
      </c>
      <c r="O12" s="1" t="s">
        <v>166</v>
      </c>
    </row>
    <row r="13" spans="1:15" x14ac:dyDescent="0.15">
      <c r="A13" s="5">
        <v>8</v>
      </c>
      <c r="B13" s="13" t="str">
        <f>B8</f>
        <v>Soup</v>
      </c>
      <c r="D13" s="7">
        <f>'Sales Summary'!D8*'Cost of Sales'!$N13/1000</f>
        <v>0</v>
      </c>
      <c r="E13" s="7">
        <f>'Sales Summary'!E8*'Cost of Sales'!$N13/1000</f>
        <v>0</v>
      </c>
      <c r="F13" s="7">
        <f>'Sales Summary'!F8*'Cost of Sales'!$N13/1000</f>
        <v>0</v>
      </c>
      <c r="G13" s="7">
        <f>'Sales Summary'!G8*'Cost of Sales'!$N13/1000</f>
        <v>0</v>
      </c>
      <c r="H13" s="8">
        <f>SUM(D13:G13)</f>
        <v>0</v>
      </c>
      <c r="I13" s="7">
        <f>'Sales Summary'!I8*'Cost of Sales'!$N13/1000</f>
        <v>0</v>
      </c>
      <c r="J13" s="7">
        <f>'Sales Summary'!J8*'Cost of Sales'!$N13/1000</f>
        <v>121.5</v>
      </c>
      <c r="K13" s="7">
        <f>'Sales Summary'!K8*'Cost of Sales'!$N13/1000</f>
        <v>178.2</v>
      </c>
      <c r="L13" s="7">
        <f>'Sales Summary'!L8*'Cost of Sales'!$N13/1000</f>
        <v>210.6</v>
      </c>
      <c r="N13" s="92">
        <v>2000</v>
      </c>
      <c r="O13" s="1" t="s">
        <v>166</v>
      </c>
    </row>
    <row r="14" spans="1:15" x14ac:dyDescent="0.15">
      <c r="A14" s="5">
        <v>9</v>
      </c>
      <c r="B14" s="13" t="str">
        <f>B9</f>
        <v>Preserves</v>
      </c>
      <c r="D14" s="34">
        <f>'Sales Summary'!D9*'Cost of Sales'!$N14/1000</f>
        <v>0</v>
      </c>
      <c r="E14" s="34">
        <f>'Sales Summary'!E9*'Cost of Sales'!$N14/1000</f>
        <v>0</v>
      </c>
      <c r="F14" s="34">
        <f>'Sales Summary'!F9*'Cost of Sales'!$N14/1000</f>
        <v>0</v>
      </c>
      <c r="G14" s="34">
        <f>'Sales Summary'!G9*'Cost of Sales'!$N14/1000</f>
        <v>0</v>
      </c>
      <c r="H14" s="35">
        <f>SUM(D14:G14)</f>
        <v>0</v>
      </c>
      <c r="I14" s="34">
        <f>'Sales Summary'!I9*'Cost of Sales'!$N14/1000</f>
        <v>0</v>
      </c>
      <c r="J14" s="34">
        <f>'Sales Summary'!J9*'Cost of Sales'!$N14/1000</f>
        <v>0</v>
      </c>
      <c r="K14" s="34">
        <f>'Sales Summary'!K9*'Cost of Sales'!$N14/1000</f>
        <v>324</v>
      </c>
      <c r="L14" s="34">
        <f>'Sales Summary'!L9*'Cost of Sales'!$N14/1000</f>
        <v>475.2</v>
      </c>
      <c r="N14" s="92">
        <v>2000</v>
      </c>
      <c r="O14" s="1" t="s">
        <v>166</v>
      </c>
    </row>
    <row r="15" spans="1:15" x14ac:dyDescent="0.15">
      <c r="A15" s="5">
        <v>10</v>
      </c>
      <c r="B15" s="47" t="s">
        <v>31</v>
      </c>
      <c r="D15" s="7">
        <f>SUM(D7:D14)</f>
        <v>0</v>
      </c>
      <c r="E15" s="7">
        <f>SUM(E7:E14)</f>
        <v>0</v>
      </c>
      <c r="F15" s="7">
        <f>SUM(F7:F14)</f>
        <v>0</v>
      </c>
      <c r="G15" s="7">
        <f>SUM(G7:G14)</f>
        <v>0</v>
      </c>
      <c r="H15" s="8">
        <f>SUM(D15:G15)</f>
        <v>0</v>
      </c>
      <c r="I15" s="7">
        <f>SUM(I7:I14)</f>
        <v>303.75</v>
      </c>
      <c r="J15" s="7">
        <f>SUM(J7:J14)</f>
        <v>1174.5</v>
      </c>
      <c r="K15" s="7">
        <f>SUM(K7:K14)</f>
        <v>3539.7</v>
      </c>
      <c r="L15" s="7">
        <f>SUM(L7:L14)</f>
        <v>4560.3</v>
      </c>
      <c r="N15" s="5"/>
    </row>
    <row r="16" spans="1:15" x14ac:dyDescent="0.15">
      <c r="A16" s="5">
        <v>11</v>
      </c>
      <c r="D16" s="7"/>
      <c r="E16" s="7"/>
      <c r="F16" s="7"/>
      <c r="G16" s="7"/>
      <c r="H16" s="8"/>
      <c r="I16" s="7"/>
      <c r="J16" s="7"/>
      <c r="K16" s="7"/>
      <c r="L16" s="7"/>
      <c r="N16" s="5"/>
    </row>
    <row r="17" spans="1:15" x14ac:dyDescent="0.15">
      <c r="A17" s="5">
        <v>12</v>
      </c>
      <c r="B17" s="6" t="s">
        <v>244</v>
      </c>
      <c r="D17" s="7">
        <f>Manufacturing!D28</f>
        <v>19.2</v>
      </c>
      <c r="E17" s="7">
        <f>Manufacturing!E28</f>
        <v>24.2</v>
      </c>
      <c r="F17" s="7">
        <f>Manufacturing!F28</f>
        <v>29.2</v>
      </c>
      <c r="G17" s="7">
        <f>Manufacturing!G28</f>
        <v>39.200000000000003</v>
      </c>
      <c r="H17" s="8">
        <f>Manufacturing!H28</f>
        <v>111.8</v>
      </c>
      <c r="I17" s="7">
        <f>Manufacturing!I28</f>
        <v>176.65</v>
      </c>
      <c r="J17" s="7">
        <f>Manufacturing!J28</f>
        <v>308.39999999999998</v>
      </c>
      <c r="K17" s="7">
        <f>Manufacturing!K28</f>
        <v>509.85</v>
      </c>
      <c r="L17" s="7">
        <f>Manufacturing!L28</f>
        <v>715.90000000000009</v>
      </c>
      <c r="N17" s="5"/>
    </row>
    <row r="18" spans="1:15" x14ac:dyDescent="0.15">
      <c r="A18" s="5">
        <v>13</v>
      </c>
      <c r="D18" s="7"/>
      <c r="E18" s="7"/>
      <c r="F18" s="7"/>
      <c r="G18" s="7"/>
      <c r="H18" s="8"/>
      <c r="I18" s="7"/>
      <c r="J18" s="7"/>
      <c r="K18" s="7"/>
      <c r="L18" s="7"/>
      <c r="N18" s="5"/>
    </row>
    <row r="19" spans="1:15" x14ac:dyDescent="0.15">
      <c r="A19" s="5">
        <v>14</v>
      </c>
      <c r="B19" s="6" t="s">
        <v>126</v>
      </c>
      <c r="D19" s="7">
        <f>'Sales Summary'!D17*'Cost of Sales'!$N$19</f>
        <v>0</v>
      </c>
      <c r="E19" s="7">
        <f>'Sales Summary'!E17*'Cost of Sales'!$N$19</f>
        <v>0</v>
      </c>
      <c r="F19" s="7">
        <f>'Sales Summary'!F17*'Cost of Sales'!$N$19</f>
        <v>0</v>
      </c>
      <c r="G19" s="7">
        <f>'Sales Summary'!G17*'Cost of Sales'!$N$19</f>
        <v>0</v>
      </c>
      <c r="H19" s="8">
        <f>SUM(D19:G19)</f>
        <v>0</v>
      </c>
      <c r="I19" s="7">
        <f>'Sales Summary'!I17*'Cost of Sales'!$N$19</f>
        <v>15.1875</v>
      </c>
      <c r="J19" s="7">
        <f>'Sales Summary'!J17*'Cost of Sales'!$N$19</f>
        <v>55.08</v>
      </c>
      <c r="K19" s="7">
        <f>'Sales Summary'!K17*'Cost of Sales'!$N$19</f>
        <v>155.43899999999999</v>
      </c>
      <c r="L19" s="7">
        <f>'Sales Summary'!L17*'Cost of Sales'!$N$19</f>
        <v>197.93700000000001</v>
      </c>
      <c r="N19" s="93">
        <v>0.02</v>
      </c>
      <c r="O19" s="1" t="s">
        <v>176</v>
      </c>
    </row>
    <row r="20" spans="1:15" x14ac:dyDescent="0.15">
      <c r="A20" s="5">
        <v>15</v>
      </c>
      <c r="B20" s="6"/>
      <c r="D20" s="7"/>
      <c r="E20" s="7"/>
      <c r="F20" s="7"/>
      <c r="G20" s="7"/>
      <c r="H20" s="8"/>
      <c r="I20" s="7"/>
      <c r="J20" s="7"/>
      <c r="K20" s="7"/>
      <c r="L20" s="7"/>
      <c r="N20" s="5"/>
    </row>
    <row r="21" spans="1:15" x14ac:dyDescent="0.15">
      <c r="A21" s="5">
        <v>16</v>
      </c>
      <c r="B21" s="6" t="s">
        <v>144</v>
      </c>
      <c r="D21" s="7">
        <f>'Sales Summary'!D19*'Cost of Sales'!$N$21</f>
        <v>0</v>
      </c>
      <c r="E21" s="7">
        <f>'Sales Summary'!E19*'Cost of Sales'!$N$21</f>
        <v>0</v>
      </c>
      <c r="F21" s="7">
        <f>'Sales Summary'!F19*'Cost of Sales'!$N$21</f>
        <v>0</v>
      </c>
      <c r="G21" s="7">
        <f>'Sales Summary'!G19*'Cost of Sales'!$N$21</f>
        <v>0</v>
      </c>
      <c r="H21" s="8">
        <f>SUM(D21:G21)</f>
        <v>0</v>
      </c>
      <c r="I21" s="7">
        <f>'Sales Summary'!I19*'Cost of Sales'!$N$21</f>
        <v>18.984375</v>
      </c>
      <c r="J21" s="7">
        <f>'Sales Summary'!J19*'Cost of Sales'!$N$21</f>
        <v>68.850000000000009</v>
      </c>
      <c r="K21" s="7">
        <f>'Sales Summary'!K19*'Cost of Sales'!$N$21</f>
        <v>194.29875000000001</v>
      </c>
      <c r="L21" s="7">
        <f>'Sales Summary'!L19*'Cost of Sales'!$N$21</f>
        <v>247.42125000000001</v>
      </c>
      <c r="N21" s="94">
        <v>2.5000000000000001E-2</v>
      </c>
      <c r="O21" s="1" t="s">
        <v>177</v>
      </c>
    </row>
    <row r="22" spans="1:15" x14ac:dyDescent="0.15">
      <c r="A22" s="5">
        <v>17</v>
      </c>
      <c r="B22" s="6"/>
      <c r="D22" s="7"/>
      <c r="E22" s="7"/>
      <c r="F22" s="7"/>
      <c r="G22" s="7"/>
      <c r="H22" s="8"/>
      <c r="I22" s="7"/>
      <c r="J22" s="7"/>
      <c r="K22" s="7"/>
      <c r="L22" s="7"/>
      <c r="N22" s="5"/>
    </row>
    <row r="23" spans="1:15" ht="14" thickBot="1" x14ac:dyDescent="0.2">
      <c r="A23" s="5">
        <v>18</v>
      </c>
      <c r="B23" s="6" t="s">
        <v>127</v>
      </c>
      <c r="D23" s="36">
        <f>D15+D17+D19+D21</f>
        <v>19.2</v>
      </c>
      <c r="E23" s="36">
        <f t="shared" ref="E23:L23" si="0">E15+E17+E19+E21</f>
        <v>24.2</v>
      </c>
      <c r="F23" s="36">
        <f t="shared" si="0"/>
        <v>29.2</v>
      </c>
      <c r="G23" s="36">
        <f t="shared" si="0"/>
        <v>39.200000000000003</v>
      </c>
      <c r="H23" s="37">
        <f t="shared" si="0"/>
        <v>111.8</v>
      </c>
      <c r="I23" s="36">
        <f t="shared" si="0"/>
        <v>514.57187499999998</v>
      </c>
      <c r="J23" s="36">
        <f t="shared" si="0"/>
        <v>1606.83</v>
      </c>
      <c r="K23" s="36">
        <f t="shared" si="0"/>
        <v>4399.2877499999995</v>
      </c>
      <c r="L23" s="36">
        <f t="shared" si="0"/>
        <v>5721.558250000001</v>
      </c>
      <c r="N23" s="5"/>
    </row>
    <row r="24" spans="1:15" x14ac:dyDescent="0.15">
      <c r="A24" s="5">
        <v>19</v>
      </c>
      <c r="H24" s="89"/>
    </row>
    <row r="25" spans="1:15" x14ac:dyDescent="0.15">
      <c r="A25" s="5">
        <v>20</v>
      </c>
      <c r="B25" s="6" t="s">
        <v>246</v>
      </c>
      <c r="D25" s="7">
        <f>'Sales Summary'!D19</f>
        <v>0</v>
      </c>
      <c r="E25" s="7">
        <f>'Sales Summary'!E19</f>
        <v>0</v>
      </c>
      <c r="F25" s="7">
        <f>'Sales Summary'!F19</f>
        <v>0</v>
      </c>
      <c r="G25" s="7">
        <f>'Sales Summary'!G19</f>
        <v>0</v>
      </c>
      <c r="H25" s="8">
        <f>'Sales Summary'!H19</f>
        <v>0</v>
      </c>
      <c r="I25" s="7">
        <f>'Sales Summary'!I19</f>
        <v>759.375</v>
      </c>
      <c r="J25" s="7">
        <f>'Sales Summary'!J19</f>
        <v>2754</v>
      </c>
      <c r="K25" s="7">
        <f>'Sales Summary'!K19</f>
        <v>7771.95</v>
      </c>
      <c r="L25" s="7">
        <f>'Sales Summary'!L19</f>
        <v>9896.85</v>
      </c>
    </row>
    <row r="26" spans="1:15" x14ac:dyDescent="0.15">
      <c r="A26" s="5">
        <v>21</v>
      </c>
      <c r="B26" s="6" t="s">
        <v>3</v>
      </c>
      <c r="D26" s="34">
        <f>D25-D23</f>
        <v>-19.2</v>
      </c>
      <c r="E26" s="34">
        <f t="shared" ref="E26:L26" si="1">E25-E23</f>
        <v>-24.2</v>
      </c>
      <c r="F26" s="34">
        <f t="shared" si="1"/>
        <v>-29.2</v>
      </c>
      <c r="G26" s="34">
        <f t="shared" si="1"/>
        <v>-39.200000000000003</v>
      </c>
      <c r="H26" s="35">
        <f t="shared" si="1"/>
        <v>-111.8</v>
      </c>
      <c r="I26" s="34">
        <f t="shared" si="1"/>
        <v>244.80312500000002</v>
      </c>
      <c r="J26" s="34">
        <f t="shared" si="1"/>
        <v>1147.17</v>
      </c>
      <c r="K26" s="34">
        <f t="shared" si="1"/>
        <v>3372.6622500000003</v>
      </c>
      <c r="L26" s="34">
        <f t="shared" si="1"/>
        <v>4175.2917499999994</v>
      </c>
    </row>
    <row r="27" spans="1:15" ht="14" thickBot="1" x14ac:dyDescent="0.2">
      <c r="A27" s="5">
        <v>22</v>
      </c>
      <c r="B27" s="6" t="s">
        <v>245</v>
      </c>
      <c r="D27" s="90" t="str">
        <f>IF(D25&gt;0,D26/D25," ")</f>
        <v xml:space="preserve"> </v>
      </c>
      <c r="E27" s="90" t="str">
        <f t="shared" ref="E27:L27" si="2">IF(E25&gt;0,E26/E25," ")</f>
        <v xml:space="preserve"> </v>
      </c>
      <c r="F27" s="90" t="str">
        <f t="shared" si="2"/>
        <v xml:space="preserve"> </v>
      </c>
      <c r="G27" s="90" t="str">
        <f t="shared" si="2"/>
        <v xml:space="preserve"> </v>
      </c>
      <c r="H27" s="91" t="str">
        <f t="shared" si="2"/>
        <v xml:space="preserve"> </v>
      </c>
      <c r="I27" s="90">
        <f t="shared" si="2"/>
        <v>0.32237448559670784</v>
      </c>
      <c r="J27" s="90">
        <f t="shared" si="2"/>
        <v>0.41654684095860567</v>
      </c>
      <c r="K27" s="90">
        <f t="shared" si="2"/>
        <v>0.43395315847374216</v>
      </c>
      <c r="L27" s="90">
        <f t="shared" si="2"/>
        <v>0.42188087623839904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80" orientation="landscape"/>
  <headerFooter alignWithMargins="0"/>
  <ignoredErrors>
    <ignoredError sqref="H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zoomScale="150" zoomScaleNormal="150" workbookViewId="0">
      <pane ySplit="1" topLeftCell="A2" activePane="bottomLeft" state="frozen"/>
      <selection sqref="A1:O59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/>
    <col min="15" max="15" width="23.83203125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72</v>
      </c>
      <c r="N1" s="38"/>
    </row>
    <row r="2" spans="1:15" x14ac:dyDescent="0.15">
      <c r="N2" s="5"/>
    </row>
    <row r="3" spans="1:15" x14ac:dyDescent="0.15">
      <c r="E3" s="107" t="s">
        <v>16</v>
      </c>
      <c r="F3" s="107"/>
      <c r="H3" s="2"/>
      <c r="N3" s="5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3">
        <v>1</v>
      </c>
      <c r="B6" s="6" t="s">
        <v>24</v>
      </c>
      <c r="H6" s="2"/>
      <c r="N6" s="5"/>
    </row>
    <row r="7" spans="1:15" x14ac:dyDescent="0.15">
      <c r="A7" s="3">
        <v>2</v>
      </c>
      <c r="B7" s="13" t="s">
        <v>56</v>
      </c>
      <c r="D7" s="7">
        <f>Headcount!D28</f>
        <v>1</v>
      </c>
      <c r="E7" s="7">
        <f>Headcount!E28</f>
        <v>1</v>
      </c>
      <c r="F7" s="7">
        <f>Headcount!F28</f>
        <v>1</v>
      </c>
      <c r="G7" s="7">
        <f>Headcount!G28</f>
        <v>1</v>
      </c>
      <c r="H7" s="8">
        <f>G7</f>
        <v>1</v>
      </c>
      <c r="I7" s="7">
        <f>Headcount!I28</f>
        <v>2</v>
      </c>
      <c r="J7" s="7">
        <f>Headcount!J28</f>
        <v>4</v>
      </c>
      <c r="K7" s="7">
        <f>Headcount!K28</f>
        <v>7</v>
      </c>
      <c r="L7" s="7">
        <f>Headcount!L28</f>
        <v>11</v>
      </c>
      <c r="N7" s="5" t="s">
        <v>151</v>
      </c>
    </row>
    <row r="8" spans="1:15" x14ac:dyDescent="0.15">
      <c r="A8" s="3">
        <v>3</v>
      </c>
      <c r="B8" s="1" t="s">
        <v>25</v>
      </c>
      <c r="D8" s="7">
        <f>Salaries!D28</f>
        <v>15</v>
      </c>
      <c r="E8" s="7">
        <f>Salaries!E28</f>
        <v>15</v>
      </c>
      <c r="F8" s="7">
        <f>Salaries!F28</f>
        <v>15</v>
      </c>
      <c r="G8" s="7">
        <f>Salaries!G28</f>
        <v>15</v>
      </c>
      <c r="H8" s="8">
        <f t="shared" ref="H8:H13" si="0">SUM(D8:G8)</f>
        <v>60</v>
      </c>
      <c r="I8" s="7">
        <f>Salaries!I28</f>
        <v>90</v>
      </c>
      <c r="J8" s="7">
        <f>Salaries!J28</f>
        <v>160</v>
      </c>
      <c r="K8" s="7">
        <f>Salaries!K28</f>
        <v>250</v>
      </c>
      <c r="L8" s="7">
        <f>Salaries!L28</f>
        <v>380</v>
      </c>
      <c r="N8" s="5" t="s">
        <v>154</v>
      </c>
    </row>
    <row r="9" spans="1:15" x14ac:dyDescent="0.15">
      <c r="A9" s="3">
        <v>4</v>
      </c>
      <c r="B9" s="1" t="s">
        <v>26</v>
      </c>
      <c r="D9" s="7">
        <f>D8*$N$9</f>
        <v>1.65</v>
      </c>
      <c r="E9" s="7">
        <f>E8*$N$9</f>
        <v>1.65</v>
      </c>
      <c r="F9" s="7">
        <f>F8*$N$9</f>
        <v>1.65</v>
      </c>
      <c r="G9" s="7">
        <f>G8*$N$9</f>
        <v>1.65</v>
      </c>
      <c r="H9" s="8">
        <f t="shared" si="0"/>
        <v>6.6</v>
      </c>
      <c r="I9" s="7">
        <f>I8*$N$9</f>
        <v>9.9</v>
      </c>
      <c r="J9" s="7">
        <f>J8*$N$9</f>
        <v>17.600000000000001</v>
      </c>
      <c r="K9" s="7">
        <f>K8*$N$9</f>
        <v>27.5</v>
      </c>
      <c r="L9" s="7">
        <f>L8*$N$9</f>
        <v>41.8</v>
      </c>
      <c r="N9" s="40">
        <v>0.11</v>
      </c>
      <c r="O9" s="1" t="s">
        <v>180</v>
      </c>
    </row>
    <row r="10" spans="1:15" x14ac:dyDescent="0.15">
      <c r="A10" s="3">
        <v>5</v>
      </c>
      <c r="B10" s="1" t="s">
        <v>27</v>
      </c>
      <c r="D10" s="7">
        <f>D8*$N$10</f>
        <v>1.125</v>
      </c>
      <c r="E10" s="7">
        <f>E8*$N$10</f>
        <v>1.125</v>
      </c>
      <c r="F10" s="7">
        <f>F8*$N$10</f>
        <v>1.125</v>
      </c>
      <c r="G10" s="7">
        <f>G8*$N$10</f>
        <v>1.125</v>
      </c>
      <c r="H10" s="8">
        <f t="shared" si="0"/>
        <v>4.5</v>
      </c>
      <c r="I10" s="7">
        <f>I8*$N$10</f>
        <v>6.75</v>
      </c>
      <c r="J10" s="7">
        <f>J8*$N$10</f>
        <v>12</v>
      </c>
      <c r="K10" s="7">
        <f>K8*$N$10</f>
        <v>18.75</v>
      </c>
      <c r="L10" s="7">
        <f>L8*$N$10</f>
        <v>28.5</v>
      </c>
      <c r="N10" s="44">
        <v>7.4999999999999997E-2</v>
      </c>
      <c r="O10" s="1" t="s">
        <v>180</v>
      </c>
    </row>
    <row r="11" spans="1:15" x14ac:dyDescent="0.15">
      <c r="A11" s="3">
        <v>6</v>
      </c>
      <c r="B11" s="1" t="s">
        <v>28</v>
      </c>
      <c r="D11" s="7">
        <f>($N$11*((D8*4)/1000))/4</f>
        <v>0.22499999999999998</v>
      </c>
      <c r="E11" s="7">
        <f>($N$11*((E8*4)/1000))/4</f>
        <v>0.22499999999999998</v>
      </c>
      <c r="F11" s="7">
        <f>($N$11*((F8*4)/1000))/4</f>
        <v>0.22499999999999998</v>
      </c>
      <c r="G11" s="7">
        <f>($N$11*((G8*4)/1000))/4</f>
        <v>0.22499999999999998</v>
      </c>
      <c r="H11" s="8">
        <f t="shared" si="0"/>
        <v>0.89999999999999991</v>
      </c>
      <c r="I11" s="7">
        <f>$N$11*((I8*4)/1000)</f>
        <v>5.3999999999999995</v>
      </c>
      <c r="J11" s="7">
        <f>$N$11*((J8*4)/1000)</f>
        <v>9.6</v>
      </c>
      <c r="K11" s="7">
        <f>$N$11*((K8*4)/1000)</f>
        <v>15</v>
      </c>
      <c r="L11" s="7">
        <f>$N$11*((L8*4)/1000)</f>
        <v>22.8</v>
      </c>
      <c r="N11" s="96">
        <v>15</v>
      </c>
      <c r="O11" s="1" t="s">
        <v>181</v>
      </c>
    </row>
    <row r="12" spans="1:15" x14ac:dyDescent="0.15">
      <c r="A12" s="3">
        <v>7</v>
      </c>
      <c r="B12" s="1" t="s">
        <v>29</v>
      </c>
      <c r="D12" s="7">
        <f>(D7*1.8)/4</f>
        <v>0.45</v>
      </c>
      <c r="E12" s="7">
        <f>(E7*1.8)/4</f>
        <v>0.45</v>
      </c>
      <c r="F12" s="7">
        <f>(F7*1.8)/4</f>
        <v>0.45</v>
      </c>
      <c r="G12" s="7">
        <f>(G7*1.8)/4</f>
        <v>0.45</v>
      </c>
      <c r="H12" s="8">
        <f t="shared" si="0"/>
        <v>1.8</v>
      </c>
      <c r="I12" s="22">
        <f>I7*1.8</f>
        <v>3.6</v>
      </c>
      <c r="J12" s="22">
        <f>J7*1.8</f>
        <v>7.2</v>
      </c>
      <c r="K12" s="22">
        <f>K7*1.8</f>
        <v>12.6</v>
      </c>
      <c r="L12" s="22">
        <f>L7*1.8</f>
        <v>19.8</v>
      </c>
      <c r="N12" s="96">
        <v>1800</v>
      </c>
      <c r="O12" s="1" t="s">
        <v>179</v>
      </c>
    </row>
    <row r="13" spans="1:15" x14ac:dyDescent="0.15">
      <c r="A13" s="3">
        <v>8</v>
      </c>
      <c r="B13" s="1" t="s">
        <v>30</v>
      </c>
      <c r="D13" s="34">
        <v>0</v>
      </c>
      <c r="E13" s="34">
        <f>IF(E7&gt;D7,(E7-D7)*$N$13/1000,0)</f>
        <v>0</v>
      </c>
      <c r="F13" s="34">
        <f t="shared" ref="F13:L13" si="1">IF(F7&gt;E7,(F7-E7)*$N$13/1000,0)</f>
        <v>0</v>
      </c>
      <c r="G13" s="34">
        <f t="shared" si="1"/>
        <v>0</v>
      </c>
      <c r="H13" s="35">
        <f t="shared" si="0"/>
        <v>0</v>
      </c>
      <c r="I13" s="34">
        <f t="shared" si="1"/>
        <v>5</v>
      </c>
      <c r="J13" s="34">
        <f t="shared" si="1"/>
        <v>10</v>
      </c>
      <c r="K13" s="34">
        <f t="shared" si="1"/>
        <v>15</v>
      </c>
      <c r="L13" s="34">
        <f t="shared" si="1"/>
        <v>20</v>
      </c>
      <c r="N13" s="96">
        <v>5000</v>
      </c>
      <c r="O13" s="1" t="s">
        <v>178</v>
      </c>
    </row>
    <row r="14" spans="1:15" x14ac:dyDescent="0.15">
      <c r="A14" s="3">
        <v>9</v>
      </c>
      <c r="B14" s="47" t="s">
        <v>31</v>
      </c>
      <c r="D14" s="7">
        <f>SUM(D8:D13)</f>
        <v>18.45</v>
      </c>
      <c r="E14" s="7">
        <f t="shared" ref="E14:L14" si="2">SUM(E8:E13)</f>
        <v>18.45</v>
      </c>
      <c r="F14" s="7">
        <f t="shared" si="2"/>
        <v>18.45</v>
      </c>
      <c r="G14" s="7">
        <f t="shared" si="2"/>
        <v>18.45</v>
      </c>
      <c r="H14" s="8">
        <f t="shared" si="2"/>
        <v>73.8</v>
      </c>
      <c r="I14" s="7">
        <f t="shared" si="2"/>
        <v>120.65</v>
      </c>
      <c r="J14" s="7">
        <f t="shared" si="2"/>
        <v>216.39999999999998</v>
      </c>
      <c r="K14" s="7">
        <f t="shared" si="2"/>
        <v>338.85</v>
      </c>
      <c r="L14" s="7">
        <f t="shared" si="2"/>
        <v>512.90000000000009</v>
      </c>
      <c r="N14" s="5"/>
    </row>
    <row r="15" spans="1:15" x14ac:dyDescent="0.15">
      <c r="A15" s="3">
        <v>10</v>
      </c>
      <c r="D15" s="7"/>
      <c r="E15" s="7"/>
      <c r="F15" s="7"/>
      <c r="G15" s="7"/>
      <c r="H15" s="8"/>
      <c r="I15" s="7"/>
      <c r="J15" s="7"/>
      <c r="K15" s="7"/>
      <c r="L15" s="7"/>
      <c r="N15" s="5"/>
    </row>
    <row r="16" spans="1:15" x14ac:dyDescent="0.15">
      <c r="A16" s="3">
        <v>11</v>
      </c>
      <c r="B16" s="6" t="s">
        <v>32</v>
      </c>
      <c r="D16" s="7"/>
      <c r="E16" s="7"/>
      <c r="F16" s="7"/>
      <c r="G16" s="7"/>
      <c r="H16" s="8"/>
      <c r="I16" s="7"/>
      <c r="J16" s="7"/>
      <c r="K16" s="7"/>
      <c r="L16" s="7"/>
      <c r="N16" s="5"/>
    </row>
    <row r="17" spans="1:15" x14ac:dyDescent="0.15">
      <c r="A17" s="3">
        <v>12</v>
      </c>
      <c r="B17" s="1" t="s">
        <v>33</v>
      </c>
      <c r="D17" s="7">
        <f>D7*($N$17/1000)/4</f>
        <v>0.5</v>
      </c>
      <c r="E17" s="7">
        <f>E7*($N$17/1000)/4</f>
        <v>0.5</v>
      </c>
      <c r="F17" s="7">
        <f>F7*($N$17/1000)/4</f>
        <v>0.5</v>
      </c>
      <c r="G17" s="7">
        <f>G7*($N$17/1000)/4</f>
        <v>0.5</v>
      </c>
      <c r="H17" s="8">
        <f>SUM(D17:G17)</f>
        <v>2</v>
      </c>
      <c r="I17" s="7">
        <f>I7*($N$17/1000)</f>
        <v>4</v>
      </c>
      <c r="J17" s="7">
        <f>J7*($N$17/1000)</f>
        <v>8</v>
      </c>
      <c r="K17" s="7">
        <f>K7*($N$17/1000)</f>
        <v>14</v>
      </c>
      <c r="L17" s="7">
        <f>L7*($N$17/1000)</f>
        <v>22</v>
      </c>
      <c r="N17" s="96">
        <v>2000</v>
      </c>
      <c r="O17" s="1" t="s">
        <v>179</v>
      </c>
    </row>
    <row r="18" spans="1:15" x14ac:dyDescent="0.15">
      <c r="A18" s="3">
        <v>13</v>
      </c>
      <c r="B18" s="1" t="s">
        <v>34</v>
      </c>
      <c r="D18" s="34">
        <f>D7*($N$18/1000)/4</f>
        <v>0.25</v>
      </c>
      <c r="E18" s="34">
        <f>E7*($N$18/1000)/4</f>
        <v>0.25</v>
      </c>
      <c r="F18" s="34">
        <f>F7*($N$18/1000)/4</f>
        <v>0.25</v>
      </c>
      <c r="G18" s="34">
        <f>G7*($N$18/1000)/4</f>
        <v>0.25</v>
      </c>
      <c r="H18" s="35">
        <f>SUM(D18:G18)</f>
        <v>1</v>
      </c>
      <c r="I18" s="34">
        <f>I7*($N$18/1000)</f>
        <v>2</v>
      </c>
      <c r="J18" s="34">
        <f>J7*($N$18/1000)</f>
        <v>4</v>
      </c>
      <c r="K18" s="34">
        <f>K7*($N$18/1000)</f>
        <v>7</v>
      </c>
      <c r="L18" s="34">
        <f>L7*($N$18/1000)</f>
        <v>11</v>
      </c>
      <c r="N18" s="96">
        <v>1000</v>
      </c>
      <c r="O18" s="1" t="s">
        <v>179</v>
      </c>
    </row>
    <row r="19" spans="1:15" x14ac:dyDescent="0.15">
      <c r="A19" s="3">
        <v>14</v>
      </c>
      <c r="B19" s="47" t="s">
        <v>31</v>
      </c>
      <c r="D19" s="7">
        <f>SUM(D17:D18)</f>
        <v>0.75</v>
      </c>
      <c r="E19" s="7">
        <f t="shared" ref="E19:L19" si="3">SUM(E17:E18)</f>
        <v>0.75</v>
      </c>
      <c r="F19" s="7">
        <f t="shared" si="3"/>
        <v>0.75</v>
      </c>
      <c r="G19" s="7">
        <f t="shared" si="3"/>
        <v>0.75</v>
      </c>
      <c r="H19" s="8">
        <f t="shared" si="3"/>
        <v>3</v>
      </c>
      <c r="I19" s="7">
        <f t="shared" si="3"/>
        <v>6</v>
      </c>
      <c r="J19" s="7">
        <f t="shared" si="3"/>
        <v>12</v>
      </c>
      <c r="K19" s="7">
        <f t="shared" si="3"/>
        <v>21</v>
      </c>
      <c r="L19" s="7">
        <f t="shared" si="3"/>
        <v>33</v>
      </c>
      <c r="N19" s="5"/>
    </row>
    <row r="20" spans="1:15" x14ac:dyDescent="0.15">
      <c r="A20" s="3">
        <v>15</v>
      </c>
      <c r="D20" s="7"/>
      <c r="E20" s="7"/>
      <c r="F20" s="7"/>
      <c r="G20" s="7"/>
      <c r="H20" s="8"/>
      <c r="I20" s="7"/>
      <c r="J20" s="7"/>
      <c r="K20" s="7"/>
      <c r="L20" s="7"/>
      <c r="N20" s="5"/>
    </row>
    <row r="21" spans="1:15" x14ac:dyDescent="0.15">
      <c r="A21" s="3">
        <v>16</v>
      </c>
      <c r="B21" s="6" t="s">
        <v>118</v>
      </c>
      <c r="D21" s="7"/>
      <c r="E21" s="7"/>
      <c r="F21" s="7"/>
      <c r="G21" s="7"/>
      <c r="H21" s="8"/>
      <c r="I21" s="7"/>
      <c r="J21" s="7"/>
      <c r="K21" s="7"/>
      <c r="L21" s="7"/>
    </row>
    <row r="22" spans="1:15" x14ac:dyDescent="0.15">
      <c r="A22" s="3">
        <v>17</v>
      </c>
      <c r="B22" s="1" t="s">
        <v>119</v>
      </c>
      <c r="D22" s="39">
        <v>0</v>
      </c>
      <c r="E22" s="39">
        <v>0</v>
      </c>
      <c r="F22" s="39">
        <v>5</v>
      </c>
      <c r="G22" s="39">
        <v>10</v>
      </c>
      <c r="H22" s="8">
        <f>SUM(D22:G22)</f>
        <v>15</v>
      </c>
      <c r="I22" s="39">
        <v>20</v>
      </c>
      <c r="J22" s="39">
        <v>30</v>
      </c>
      <c r="K22" s="39">
        <v>50</v>
      </c>
      <c r="L22" s="39">
        <v>50</v>
      </c>
    </row>
    <row r="23" spans="1:15" x14ac:dyDescent="0.15">
      <c r="A23" s="3">
        <v>18</v>
      </c>
      <c r="B23" s="1" t="s">
        <v>120</v>
      </c>
      <c r="D23" s="39">
        <v>0</v>
      </c>
      <c r="E23" s="39">
        <v>0</v>
      </c>
      <c r="F23" s="39">
        <v>0</v>
      </c>
      <c r="G23" s="39">
        <v>0</v>
      </c>
      <c r="H23" s="8">
        <f>SUM(D23:G23)</f>
        <v>0</v>
      </c>
      <c r="I23" s="39">
        <v>10</v>
      </c>
      <c r="J23" s="39">
        <v>20</v>
      </c>
      <c r="K23" s="39">
        <v>40</v>
      </c>
      <c r="L23" s="39">
        <v>50</v>
      </c>
    </row>
    <row r="24" spans="1:15" x14ac:dyDescent="0.15">
      <c r="A24" s="3">
        <v>19</v>
      </c>
      <c r="B24" s="1" t="s">
        <v>121</v>
      </c>
      <c r="D24" s="39">
        <v>0</v>
      </c>
      <c r="E24" s="39">
        <v>5</v>
      </c>
      <c r="F24" s="39">
        <v>5</v>
      </c>
      <c r="G24" s="39">
        <v>5</v>
      </c>
      <c r="H24" s="8">
        <f>SUM(D24:G24)</f>
        <v>15</v>
      </c>
      <c r="I24" s="39">
        <v>10</v>
      </c>
      <c r="J24" s="39">
        <v>20</v>
      </c>
      <c r="K24" s="39">
        <v>40</v>
      </c>
      <c r="L24" s="39">
        <v>50</v>
      </c>
    </row>
    <row r="25" spans="1:15" x14ac:dyDescent="0.15">
      <c r="A25" s="3">
        <v>20</v>
      </c>
      <c r="B25" s="1" t="s">
        <v>122</v>
      </c>
      <c r="D25" s="39">
        <v>0</v>
      </c>
      <c r="E25" s="39">
        <v>0</v>
      </c>
      <c r="F25" s="39">
        <v>0</v>
      </c>
      <c r="G25" s="39">
        <v>5</v>
      </c>
      <c r="H25" s="95">
        <f>SUM(D25:G25)</f>
        <v>5</v>
      </c>
      <c r="I25" s="39">
        <v>10</v>
      </c>
      <c r="J25" s="39">
        <v>10</v>
      </c>
      <c r="K25" s="39">
        <v>20</v>
      </c>
      <c r="L25" s="39">
        <v>20</v>
      </c>
    </row>
    <row r="26" spans="1:15" x14ac:dyDescent="0.15">
      <c r="A26" s="3">
        <v>21</v>
      </c>
      <c r="B26" s="47" t="s">
        <v>31</v>
      </c>
      <c r="D26" s="7">
        <f>SUM(D22:D25)</f>
        <v>0</v>
      </c>
      <c r="E26" s="7">
        <f>SUM(E22:E25)</f>
        <v>5</v>
      </c>
      <c r="F26" s="7">
        <f>SUM(F22:F25)</f>
        <v>10</v>
      </c>
      <c r="G26" s="7">
        <f>SUM(G22:G25)</f>
        <v>20</v>
      </c>
      <c r="H26" s="8">
        <f>SUM(D26:G26)</f>
        <v>35</v>
      </c>
      <c r="I26" s="7">
        <f>SUM(I22:I25)</f>
        <v>50</v>
      </c>
      <c r="J26" s="7">
        <f>SUM(J22:J25)</f>
        <v>80</v>
      </c>
      <c r="K26" s="7">
        <f>SUM(K22:K25)</f>
        <v>150</v>
      </c>
      <c r="L26" s="7">
        <f>SUM(L22:L25)</f>
        <v>170</v>
      </c>
    </row>
    <row r="27" spans="1:15" x14ac:dyDescent="0.15">
      <c r="A27" s="3">
        <v>22</v>
      </c>
      <c r="D27" s="7"/>
      <c r="E27" s="7"/>
      <c r="F27" s="7"/>
      <c r="G27" s="7"/>
      <c r="H27" s="8"/>
      <c r="I27" s="7"/>
      <c r="J27" s="7"/>
      <c r="K27" s="7"/>
      <c r="L27" s="7"/>
    </row>
    <row r="28" spans="1:15" ht="14" thickBot="1" x14ac:dyDescent="0.2">
      <c r="A28" s="3">
        <v>23</v>
      </c>
      <c r="B28" s="6" t="s">
        <v>182</v>
      </c>
      <c r="D28" s="36">
        <f>D14+D19+D26</f>
        <v>19.2</v>
      </c>
      <c r="E28" s="36">
        <f t="shared" ref="E28:L28" si="4">E14+E19+E26</f>
        <v>24.2</v>
      </c>
      <c r="F28" s="36">
        <f t="shared" si="4"/>
        <v>29.2</v>
      </c>
      <c r="G28" s="36">
        <f t="shared" si="4"/>
        <v>39.200000000000003</v>
      </c>
      <c r="H28" s="37">
        <f t="shared" si="4"/>
        <v>111.8</v>
      </c>
      <c r="I28" s="36">
        <f t="shared" si="4"/>
        <v>176.65</v>
      </c>
      <c r="J28" s="36">
        <f t="shared" si="4"/>
        <v>308.39999999999998</v>
      </c>
      <c r="K28" s="36">
        <f t="shared" si="4"/>
        <v>509.85</v>
      </c>
      <c r="L28" s="36">
        <f t="shared" si="4"/>
        <v>715.90000000000009</v>
      </c>
    </row>
    <row r="29" spans="1:15" x14ac:dyDescent="0.15">
      <c r="A29" s="5"/>
    </row>
    <row r="30" spans="1:15" x14ac:dyDescent="0.15">
      <c r="A30" s="5"/>
    </row>
    <row r="31" spans="1:15" x14ac:dyDescent="0.15">
      <c r="A31" s="5"/>
    </row>
    <row r="32" spans="1:15" x14ac:dyDescent="0.15">
      <c r="A32" s="5"/>
    </row>
    <row r="33" spans="1:1" x14ac:dyDescent="0.15">
      <c r="A33" s="5"/>
    </row>
    <row r="34" spans="1:1" x14ac:dyDescent="0.15">
      <c r="A34" s="5"/>
    </row>
    <row r="35" spans="1:1" x14ac:dyDescent="0.15">
      <c r="A35" s="5"/>
    </row>
    <row r="36" spans="1:1" x14ac:dyDescent="0.15">
      <c r="A36" s="5"/>
    </row>
  </sheetData>
  <mergeCells count="1">
    <mergeCell ref="E3:F3"/>
  </mergeCells>
  <phoneticPr fontId="4" type="noConversion"/>
  <pageMargins left="0.75" right="0.75" top="1" bottom="1" header="0.5" footer="0.5"/>
  <pageSetup paperSize="9" scale="78" orientation="landscape"/>
  <headerFooter alignWithMargins="0"/>
  <ignoredErrors>
    <ignoredError sqref="H26 H9:H10 H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1"/>
  <sheetViews>
    <sheetView zoomScale="150" zoomScaleNormal="150" workbookViewId="0">
      <pane ySplit="1" topLeftCell="A2" activePane="bottomLeft" state="frozen"/>
      <selection sqref="A1:O59"/>
      <selection pane="bottomLeft" activeCell="N4" sqref="N4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/>
    <col min="15" max="15" width="25.6640625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57</v>
      </c>
      <c r="N1" s="38"/>
    </row>
    <row r="2" spans="1:15" x14ac:dyDescent="0.15">
      <c r="N2" s="5"/>
    </row>
    <row r="3" spans="1:15" x14ac:dyDescent="0.15">
      <c r="E3" s="107" t="s">
        <v>16</v>
      </c>
      <c r="F3" s="107"/>
      <c r="H3" s="2"/>
      <c r="N3" s="5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3">
        <v>1</v>
      </c>
      <c r="B6" s="6" t="s">
        <v>24</v>
      </c>
      <c r="H6" s="2"/>
      <c r="N6" s="5"/>
    </row>
    <row r="7" spans="1:15" x14ac:dyDescent="0.15">
      <c r="A7" s="3">
        <v>2</v>
      </c>
      <c r="B7" s="13" t="s">
        <v>56</v>
      </c>
      <c r="D7" s="7">
        <f>Headcount!D18</f>
        <v>1</v>
      </c>
      <c r="E7" s="7">
        <f>Headcount!E18</f>
        <v>1</v>
      </c>
      <c r="F7" s="7">
        <f>Headcount!F18</f>
        <v>1</v>
      </c>
      <c r="G7" s="7">
        <f>Headcount!G18</f>
        <v>1</v>
      </c>
      <c r="H7" s="8">
        <f>G7</f>
        <v>1</v>
      </c>
      <c r="I7" s="7">
        <f>Headcount!I18</f>
        <v>2</v>
      </c>
      <c r="J7" s="7">
        <f>Headcount!J18</f>
        <v>4</v>
      </c>
      <c r="K7" s="7">
        <f>Headcount!K18</f>
        <v>6</v>
      </c>
      <c r="L7" s="7">
        <f>Headcount!L18</f>
        <v>9</v>
      </c>
      <c r="N7" s="5" t="s">
        <v>151</v>
      </c>
    </row>
    <row r="8" spans="1:15" x14ac:dyDescent="0.15">
      <c r="A8" s="3">
        <v>3</v>
      </c>
      <c r="B8" s="1" t="s">
        <v>25</v>
      </c>
      <c r="D8" s="7">
        <f>Salaries!D18</f>
        <v>15</v>
      </c>
      <c r="E8" s="7">
        <f>Salaries!E18</f>
        <v>15</v>
      </c>
      <c r="F8" s="7">
        <f>Salaries!F18</f>
        <v>15</v>
      </c>
      <c r="G8" s="7">
        <f>Salaries!G18</f>
        <v>15</v>
      </c>
      <c r="H8" s="8">
        <f t="shared" ref="H8:H13" si="0">SUM(D8:G8)</f>
        <v>60</v>
      </c>
      <c r="I8" s="7">
        <f>Salaries!I18</f>
        <v>100</v>
      </c>
      <c r="J8" s="7">
        <f>Salaries!J18</f>
        <v>160</v>
      </c>
      <c r="K8" s="7">
        <f>Salaries!K18</f>
        <v>235</v>
      </c>
      <c r="L8" s="7">
        <f>Salaries!L18</f>
        <v>335</v>
      </c>
      <c r="N8" s="5" t="s">
        <v>154</v>
      </c>
    </row>
    <row r="9" spans="1:15" x14ac:dyDescent="0.15">
      <c r="A9" s="3">
        <v>4</v>
      </c>
      <c r="B9" s="1" t="s">
        <v>26</v>
      </c>
      <c r="D9" s="7">
        <f>D8*$N$9</f>
        <v>1.65</v>
      </c>
      <c r="E9" s="7">
        <f>E8*$N$9</f>
        <v>1.65</v>
      </c>
      <c r="F9" s="7">
        <f>F8*$N$9</f>
        <v>1.65</v>
      </c>
      <c r="G9" s="7">
        <f>G8*$N$9</f>
        <v>1.65</v>
      </c>
      <c r="H9" s="8">
        <f t="shared" si="0"/>
        <v>6.6</v>
      </c>
      <c r="I9" s="7">
        <f>I8*$N$9</f>
        <v>11</v>
      </c>
      <c r="J9" s="7">
        <f>J8*$N$9</f>
        <v>17.600000000000001</v>
      </c>
      <c r="K9" s="7">
        <f>K8*$N$9</f>
        <v>25.85</v>
      </c>
      <c r="L9" s="7">
        <f>L8*$N$9</f>
        <v>36.85</v>
      </c>
      <c r="N9" s="40">
        <v>0.11</v>
      </c>
      <c r="O9" s="1" t="s">
        <v>180</v>
      </c>
    </row>
    <row r="10" spans="1:15" x14ac:dyDescent="0.15">
      <c r="A10" s="3">
        <v>5</v>
      </c>
      <c r="B10" s="1" t="s">
        <v>27</v>
      </c>
      <c r="D10" s="7">
        <f>D8*$N$10</f>
        <v>1.125</v>
      </c>
      <c r="E10" s="7">
        <f>E8*$N$10</f>
        <v>1.125</v>
      </c>
      <c r="F10" s="7">
        <f>F8*$N$10</f>
        <v>1.125</v>
      </c>
      <c r="G10" s="7">
        <f>G8*$N$10</f>
        <v>1.125</v>
      </c>
      <c r="H10" s="8">
        <f t="shared" si="0"/>
        <v>4.5</v>
      </c>
      <c r="I10" s="7">
        <f>I8*$N$10</f>
        <v>7.5</v>
      </c>
      <c r="J10" s="7">
        <f>J8*$N$10</f>
        <v>12</v>
      </c>
      <c r="K10" s="7">
        <f>K8*$N$10</f>
        <v>17.625</v>
      </c>
      <c r="L10" s="7">
        <f>L8*$N$10</f>
        <v>25.125</v>
      </c>
      <c r="N10" s="44">
        <v>7.4999999999999997E-2</v>
      </c>
      <c r="O10" s="1" t="s">
        <v>180</v>
      </c>
    </row>
    <row r="11" spans="1:15" x14ac:dyDescent="0.15">
      <c r="A11" s="3">
        <v>6</v>
      </c>
      <c r="B11" s="1" t="s">
        <v>28</v>
      </c>
      <c r="D11" s="7">
        <f>($N$11*((D8*4)/1000))/4</f>
        <v>0.22499999999999998</v>
      </c>
      <c r="E11" s="7">
        <f>($N$11*((E8*4)/1000))/4</f>
        <v>0.22499999999999998</v>
      </c>
      <c r="F11" s="7">
        <f>($N$11*((F8*4)/1000))/4</f>
        <v>0.22499999999999998</v>
      </c>
      <c r="G11" s="7">
        <f>($N$11*((G8*4)/1000))/4</f>
        <v>0.22499999999999998</v>
      </c>
      <c r="H11" s="8">
        <f t="shared" si="0"/>
        <v>0.89999999999999991</v>
      </c>
      <c r="I11" s="7">
        <f>$N$11*((I8*4)/1000)</f>
        <v>6</v>
      </c>
      <c r="J11" s="7">
        <f>$N$11*((J8*4)/1000)</f>
        <v>9.6</v>
      </c>
      <c r="K11" s="7">
        <f>$N$11*((K8*4)/1000)</f>
        <v>14.1</v>
      </c>
      <c r="L11" s="7">
        <f>$N$11*((L8*4)/1000)</f>
        <v>20.100000000000001</v>
      </c>
      <c r="N11" s="96">
        <v>15</v>
      </c>
      <c r="O11" s="1" t="s">
        <v>181</v>
      </c>
    </row>
    <row r="12" spans="1:15" x14ac:dyDescent="0.15">
      <c r="A12" s="3">
        <v>7</v>
      </c>
      <c r="B12" s="1" t="s">
        <v>29</v>
      </c>
      <c r="D12" s="7">
        <f>(D7*1.8)/4</f>
        <v>0.45</v>
      </c>
      <c r="E12" s="7">
        <f>(E7*1.8)/4</f>
        <v>0.45</v>
      </c>
      <c r="F12" s="7">
        <f>(F7*1.8)/4</f>
        <v>0.45</v>
      </c>
      <c r="G12" s="7">
        <f>(G7*1.8)/4</f>
        <v>0.45</v>
      </c>
      <c r="H12" s="8">
        <f t="shared" si="0"/>
        <v>1.8</v>
      </c>
      <c r="I12" s="22">
        <f>I7*1.8</f>
        <v>3.6</v>
      </c>
      <c r="J12" s="22">
        <f>J7*1.8</f>
        <v>7.2</v>
      </c>
      <c r="K12" s="22">
        <f>K7*1.8</f>
        <v>10.8</v>
      </c>
      <c r="L12" s="22">
        <f>L7*1.8</f>
        <v>16.2</v>
      </c>
      <c r="N12" s="96">
        <v>1800</v>
      </c>
      <c r="O12" s="1" t="s">
        <v>179</v>
      </c>
    </row>
    <row r="13" spans="1:15" x14ac:dyDescent="0.15">
      <c r="A13" s="3">
        <v>8</v>
      </c>
      <c r="B13" s="1" t="s">
        <v>30</v>
      </c>
      <c r="D13" s="34">
        <v>0</v>
      </c>
      <c r="E13" s="34">
        <f>IF(E7&gt;D7,(E7-D7)*$N$13/1000,0)</f>
        <v>0</v>
      </c>
      <c r="F13" s="34">
        <f t="shared" ref="F13:L13" si="1">IF(F7&gt;E7,(F7-E7)*$N$13/1000,0)</f>
        <v>0</v>
      </c>
      <c r="G13" s="34">
        <f t="shared" si="1"/>
        <v>0</v>
      </c>
      <c r="H13" s="35">
        <f t="shared" si="0"/>
        <v>0</v>
      </c>
      <c r="I13" s="34">
        <f t="shared" si="1"/>
        <v>5</v>
      </c>
      <c r="J13" s="34">
        <f t="shared" si="1"/>
        <v>10</v>
      </c>
      <c r="K13" s="34">
        <f t="shared" si="1"/>
        <v>10</v>
      </c>
      <c r="L13" s="34">
        <f t="shared" si="1"/>
        <v>15</v>
      </c>
      <c r="N13" s="96">
        <v>5000</v>
      </c>
      <c r="O13" s="1" t="s">
        <v>178</v>
      </c>
    </row>
    <row r="14" spans="1:15" x14ac:dyDescent="0.15">
      <c r="A14" s="3">
        <v>9</v>
      </c>
      <c r="B14" s="47" t="s">
        <v>31</v>
      </c>
      <c r="D14" s="7">
        <f>SUM(D8:D13)</f>
        <v>18.45</v>
      </c>
      <c r="E14" s="7">
        <f t="shared" ref="E14:L14" si="2">SUM(E8:E13)</f>
        <v>18.45</v>
      </c>
      <c r="F14" s="7">
        <f t="shared" si="2"/>
        <v>18.45</v>
      </c>
      <c r="G14" s="7">
        <f t="shared" si="2"/>
        <v>18.45</v>
      </c>
      <c r="H14" s="8">
        <f t="shared" si="2"/>
        <v>73.8</v>
      </c>
      <c r="I14" s="7">
        <f t="shared" si="2"/>
        <v>133.1</v>
      </c>
      <c r="J14" s="7">
        <f t="shared" si="2"/>
        <v>216.39999999999998</v>
      </c>
      <c r="K14" s="7">
        <f t="shared" si="2"/>
        <v>313.37500000000006</v>
      </c>
      <c r="L14" s="7">
        <f t="shared" si="2"/>
        <v>448.27500000000003</v>
      </c>
      <c r="N14" s="5"/>
    </row>
    <row r="15" spans="1:15" x14ac:dyDescent="0.15">
      <c r="A15" s="3">
        <v>10</v>
      </c>
      <c r="D15" s="7"/>
      <c r="E15" s="7"/>
      <c r="F15" s="7"/>
      <c r="G15" s="7"/>
      <c r="H15" s="8"/>
      <c r="I15" s="7"/>
      <c r="J15" s="7"/>
      <c r="K15" s="7"/>
      <c r="L15" s="7"/>
      <c r="N15" s="5"/>
    </row>
    <row r="16" spans="1:15" x14ac:dyDescent="0.15">
      <c r="A16" s="3">
        <v>11</v>
      </c>
      <c r="B16" s="6" t="s">
        <v>32</v>
      </c>
      <c r="D16" s="7"/>
      <c r="E16" s="7"/>
      <c r="F16" s="7"/>
      <c r="G16" s="7"/>
      <c r="H16" s="8"/>
      <c r="I16" s="7"/>
      <c r="J16" s="7"/>
      <c r="K16" s="7"/>
      <c r="L16" s="7"/>
      <c r="N16" s="5"/>
    </row>
    <row r="17" spans="1:15" x14ac:dyDescent="0.15">
      <c r="A17" s="3">
        <v>12</v>
      </c>
      <c r="B17" s="1" t="s">
        <v>33</v>
      </c>
      <c r="D17" s="7">
        <f>D7*($N$17/1000)/4</f>
        <v>0.5</v>
      </c>
      <c r="E17" s="7">
        <f>E7*($N$17/1000)/4</f>
        <v>0.5</v>
      </c>
      <c r="F17" s="7">
        <f>F7*($N$17/1000)/4</f>
        <v>0.5</v>
      </c>
      <c r="G17" s="7">
        <f>G7*($N$17/1000)/4</f>
        <v>0.5</v>
      </c>
      <c r="H17" s="8">
        <f>SUM(D17:G17)</f>
        <v>2</v>
      </c>
      <c r="I17" s="7">
        <f>I7*($N$17/1000)</f>
        <v>4</v>
      </c>
      <c r="J17" s="7">
        <f>J7*($N$17/1000)</f>
        <v>8</v>
      </c>
      <c r="K17" s="7">
        <f>K7*($N$17/1000)</f>
        <v>12</v>
      </c>
      <c r="L17" s="7">
        <f>L7*($N$17/1000)</f>
        <v>18</v>
      </c>
      <c r="N17" s="96">
        <v>2000</v>
      </c>
      <c r="O17" s="1" t="s">
        <v>179</v>
      </c>
    </row>
    <row r="18" spans="1:15" x14ac:dyDescent="0.15">
      <c r="A18" s="3">
        <v>13</v>
      </c>
      <c r="B18" s="1" t="s">
        <v>34</v>
      </c>
      <c r="D18" s="34">
        <f>D7*($N$18/1000)/4</f>
        <v>0.25</v>
      </c>
      <c r="E18" s="34">
        <f>E7*($N$18/1000)/4</f>
        <v>0.25</v>
      </c>
      <c r="F18" s="34">
        <f>F7*($N$18/1000)/4</f>
        <v>0.25</v>
      </c>
      <c r="G18" s="34">
        <f>G7*($N$18/1000)/4</f>
        <v>0.25</v>
      </c>
      <c r="H18" s="35">
        <f>SUM(D18:G18)</f>
        <v>1</v>
      </c>
      <c r="I18" s="34">
        <f>I7*($N$18/1000)</f>
        <v>2</v>
      </c>
      <c r="J18" s="34">
        <f>J7*($N$18/1000)</f>
        <v>4</v>
      </c>
      <c r="K18" s="34">
        <f>K7*($N$18/1000)</f>
        <v>6</v>
      </c>
      <c r="L18" s="34">
        <f>L7*($N$18/1000)</f>
        <v>9</v>
      </c>
      <c r="N18" s="96">
        <v>1000</v>
      </c>
      <c r="O18" s="1" t="s">
        <v>179</v>
      </c>
    </row>
    <row r="19" spans="1:15" x14ac:dyDescent="0.15">
      <c r="A19" s="3">
        <v>14</v>
      </c>
      <c r="B19" s="47" t="s">
        <v>31</v>
      </c>
      <c r="D19" s="7">
        <f>SUM(D17:D18)</f>
        <v>0.75</v>
      </c>
      <c r="E19" s="7">
        <f t="shared" ref="E19:L19" si="3">SUM(E17:E18)</f>
        <v>0.75</v>
      </c>
      <c r="F19" s="7">
        <f t="shared" si="3"/>
        <v>0.75</v>
      </c>
      <c r="G19" s="7">
        <f t="shared" si="3"/>
        <v>0.75</v>
      </c>
      <c r="H19" s="8">
        <f t="shared" si="3"/>
        <v>3</v>
      </c>
      <c r="I19" s="7">
        <f t="shared" si="3"/>
        <v>6</v>
      </c>
      <c r="J19" s="7">
        <f t="shared" si="3"/>
        <v>12</v>
      </c>
      <c r="K19" s="7">
        <f t="shared" si="3"/>
        <v>18</v>
      </c>
      <c r="L19" s="7">
        <f t="shared" si="3"/>
        <v>27</v>
      </c>
      <c r="N19" s="5"/>
    </row>
    <row r="20" spans="1:15" x14ac:dyDescent="0.15">
      <c r="A20" s="3">
        <v>15</v>
      </c>
      <c r="D20" s="7"/>
      <c r="E20" s="7"/>
      <c r="F20" s="7"/>
      <c r="G20" s="7"/>
      <c r="H20" s="8"/>
      <c r="I20" s="7"/>
      <c r="J20" s="7"/>
      <c r="K20" s="7"/>
      <c r="L20" s="7"/>
      <c r="N20" s="5"/>
    </row>
    <row r="21" spans="1:15" x14ac:dyDescent="0.15">
      <c r="A21" s="3">
        <v>16</v>
      </c>
      <c r="B21" s="6" t="s">
        <v>103</v>
      </c>
      <c r="D21" s="7"/>
      <c r="E21" s="7"/>
      <c r="F21" s="7"/>
      <c r="G21" s="7"/>
      <c r="H21" s="8"/>
      <c r="I21" s="7"/>
      <c r="J21" s="7"/>
      <c r="K21" s="7"/>
      <c r="L21" s="7"/>
    </row>
    <row r="22" spans="1:15" x14ac:dyDescent="0.15">
      <c r="A22" s="3">
        <v>17</v>
      </c>
      <c r="B22" s="1" t="s">
        <v>104</v>
      </c>
      <c r="D22" s="39"/>
      <c r="E22" s="39"/>
      <c r="F22" s="39">
        <v>5</v>
      </c>
      <c r="G22" s="39">
        <v>5</v>
      </c>
      <c r="H22" s="8">
        <f>SUM(D22:G22)</f>
        <v>10</v>
      </c>
      <c r="I22" s="39">
        <v>10</v>
      </c>
      <c r="J22" s="39">
        <v>20</v>
      </c>
      <c r="K22" s="39">
        <v>30</v>
      </c>
      <c r="L22" s="39">
        <v>40</v>
      </c>
    </row>
    <row r="23" spans="1:15" x14ac:dyDescent="0.15">
      <c r="A23" s="3">
        <v>18</v>
      </c>
      <c r="B23" s="1" t="s">
        <v>105</v>
      </c>
      <c r="D23" s="39"/>
      <c r="E23" s="39"/>
      <c r="F23" s="39">
        <v>10</v>
      </c>
      <c r="G23" s="39">
        <v>10</v>
      </c>
      <c r="H23" s="8">
        <f>SUM(D23:G23)</f>
        <v>20</v>
      </c>
      <c r="I23" s="39">
        <v>50</v>
      </c>
      <c r="J23" s="39">
        <v>50</v>
      </c>
      <c r="K23" s="39">
        <v>50</v>
      </c>
      <c r="L23" s="39">
        <v>50</v>
      </c>
    </row>
    <row r="24" spans="1:15" x14ac:dyDescent="0.15">
      <c r="A24" s="3">
        <v>19</v>
      </c>
      <c r="B24" s="1" t="s">
        <v>106</v>
      </c>
      <c r="D24" s="39"/>
      <c r="E24" s="39"/>
      <c r="F24" s="39"/>
      <c r="G24" s="39">
        <v>10</v>
      </c>
      <c r="H24" s="35">
        <f>SUM(D24:G24)</f>
        <v>10</v>
      </c>
      <c r="I24" s="39">
        <v>20</v>
      </c>
      <c r="J24" s="39">
        <v>20</v>
      </c>
      <c r="K24" s="39">
        <v>20</v>
      </c>
      <c r="L24" s="39">
        <v>30</v>
      </c>
    </row>
    <row r="25" spans="1:15" x14ac:dyDescent="0.15">
      <c r="A25" s="3">
        <v>20</v>
      </c>
      <c r="B25" s="47" t="s">
        <v>31</v>
      </c>
      <c r="D25" s="7">
        <f t="shared" ref="D25:L25" si="4">SUM(D22:D24)</f>
        <v>0</v>
      </c>
      <c r="E25" s="7">
        <f t="shared" si="4"/>
        <v>0</v>
      </c>
      <c r="F25" s="7">
        <f t="shared" si="4"/>
        <v>15</v>
      </c>
      <c r="G25" s="7">
        <f t="shared" si="4"/>
        <v>25</v>
      </c>
      <c r="H25" s="8">
        <f t="shared" si="4"/>
        <v>40</v>
      </c>
      <c r="I25" s="7">
        <f t="shared" si="4"/>
        <v>80</v>
      </c>
      <c r="J25" s="7">
        <f t="shared" si="4"/>
        <v>90</v>
      </c>
      <c r="K25" s="7">
        <f t="shared" si="4"/>
        <v>100</v>
      </c>
      <c r="L25" s="7">
        <f t="shared" si="4"/>
        <v>120</v>
      </c>
    </row>
    <row r="26" spans="1:15" x14ac:dyDescent="0.15">
      <c r="A26" s="3">
        <v>21</v>
      </c>
      <c r="D26" s="7"/>
      <c r="E26" s="7"/>
      <c r="F26" s="7"/>
      <c r="G26" s="7"/>
      <c r="H26" s="8"/>
      <c r="I26" s="7"/>
      <c r="J26" s="7"/>
      <c r="K26" s="7"/>
      <c r="L26" s="7"/>
    </row>
    <row r="27" spans="1:15" x14ac:dyDescent="0.15">
      <c r="A27" s="3">
        <v>22</v>
      </c>
      <c r="B27" s="6" t="s">
        <v>107</v>
      </c>
      <c r="D27" s="7"/>
      <c r="E27" s="7"/>
      <c r="F27" s="7"/>
      <c r="G27" s="7"/>
      <c r="H27" s="8"/>
      <c r="I27" s="7"/>
      <c r="J27" s="7"/>
      <c r="K27" s="7"/>
      <c r="L27" s="7"/>
    </row>
    <row r="28" spans="1:15" x14ac:dyDescent="0.15">
      <c r="A28" s="3">
        <v>23</v>
      </c>
      <c r="B28" s="1" t="s">
        <v>108</v>
      </c>
      <c r="D28" s="34">
        <f>'Sales Summary'!D17*$N$28</f>
        <v>0</v>
      </c>
      <c r="E28" s="34">
        <f>'Sales Summary'!E17*$N$28</f>
        <v>0</v>
      </c>
      <c r="F28" s="34">
        <f>'Sales Summary'!F17*$N$28</f>
        <v>0</v>
      </c>
      <c r="G28" s="34">
        <f>'Sales Summary'!G17*$N$28</f>
        <v>0</v>
      </c>
      <c r="H28" s="35">
        <f>SUM(D28:G28)</f>
        <v>0</v>
      </c>
      <c r="I28" s="34">
        <f>'Sales Summary'!I17*$N$28</f>
        <v>0</v>
      </c>
      <c r="J28" s="34">
        <f>'Sales Summary'!J17*$N$28</f>
        <v>0</v>
      </c>
      <c r="K28" s="34">
        <f>'Sales Summary'!K17*$N$28</f>
        <v>0</v>
      </c>
      <c r="L28" s="34">
        <f>'Sales Summary'!L17*$N$28</f>
        <v>0</v>
      </c>
      <c r="N28" s="44">
        <v>0</v>
      </c>
      <c r="O28" s="1" t="s">
        <v>176</v>
      </c>
    </row>
    <row r="29" spans="1:15" x14ac:dyDescent="0.15">
      <c r="A29" s="3">
        <v>24</v>
      </c>
      <c r="B29" s="47" t="s">
        <v>31</v>
      </c>
      <c r="D29" s="7">
        <f>D28</f>
        <v>0</v>
      </c>
      <c r="E29" s="7">
        <f>E28</f>
        <v>0</v>
      </c>
      <c r="F29" s="7">
        <f>F28</f>
        <v>0</v>
      </c>
      <c r="G29" s="7">
        <f>G28</f>
        <v>0</v>
      </c>
      <c r="H29" s="8">
        <f>SUM(H27:H28)</f>
        <v>0</v>
      </c>
      <c r="I29" s="7">
        <f>I28</f>
        <v>0</v>
      </c>
      <c r="J29" s="7">
        <f>J28</f>
        <v>0</v>
      </c>
      <c r="K29" s="7">
        <f>K28</f>
        <v>0</v>
      </c>
      <c r="L29" s="7">
        <f>L28</f>
        <v>0</v>
      </c>
    </row>
    <row r="30" spans="1:15" x14ac:dyDescent="0.15">
      <c r="A30" s="3">
        <v>25</v>
      </c>
      <c r="D30" s="7"/>
      <c r="E30" s="7"/>
      <c r="F30" s="7"/>
      <c r="G30" s="7"/>
      <c r="H30" s="8"/>
      <c r="I30" s="7"/>
      <c r="J30" s="7"/>
      <c r="K30" s="7"/>
      <c r="L30" s="7"/>
    </row>
    <row r="31" spans="1:15" ht="14" thickBot="1" x14ac:dyDescent="0.2">
      <c r="A31" s="3">
        <v>26</v>
      </c>
      <c r="B31" s="6" t="s">
        <v>109</v>
      </c>
      <c r="D31" s="36">
        <f>D14+D19+D25+D29</f>
        <v>19.2</v>
      </c>
      <c r="E31" s="36">
        <f t="shared" ref="E31:L31" si="5">E14+E19+E25+E29</f>
        <v>19.2</v>
      </c>
      <c r="F31" s="36">
        <f t="shared" si="5"/>
        <v>34.200000000000003</v>
      </c>
      <c r="G31" s="36">
        <f t="shared" si="5"/>
        <v>44.2</v>
      </c>
      <c r="H31" s="37">
        <f t="shared" si="5"/>
        <v>116.8</v>
      </c>
      <c r="I31" s="36">
        <f t="shared" si="5"/>
        <v>219.1</v>
      </c>
      <c r="J31" s="36">
        <f t="shared" si="5"/>
        <v>318.39999999999998</v>
      </c>
      <c r="K31" s="36">
        <f t="shared" si="5"/>
        <v>431.37500000000006</v>
      </c>
      <c r="L31" s="36">
        <f t="shared" si="5"/>
        <v>595.27500000000009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77" orientation="landscape"/>
  <headerFooter alignWithMargins="0"/>
  <ignoredErrors>
    <ignoredError sqref="H9:H10 H13 H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="150" zoomScaleNormal="150" workbookViewId="0">
      <pane ySplit="1" topLeftCell="A2" activePane="bottomLeft" state="frozen"/>
      <selection sqref="A1:O59"/>
      <selection pane="bottomLeft" activeCell="A6" sqref="A6:A33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1"/>
    <col min="15" max="15" width="25.6640625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58</v>
      </c>
      <c r="N1" s="38"/>
    </row>
    <row r="2" spans="1:15" x14ac:dyDescent="0.15">
      <c r="N2" s="5"/>
    </row>
    <row r="3" spans="1:15" x14ac:dyDescent="0.15">
      <c r="E3" s="107" t="s">
        <v>16</v>
      </c>
      <c r="F3" s="107"/>
      <c r="H3" s="2"/>
      <c r="N3" s="5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3">
        <v>1</v>
      </c>
      <c r="B6" s="6" t="s">
        <v>24</v>
      </c>
      <c r="H6" s="2"/>
      <c r="N6" s="5"/>
    </row>
    <row r="7" spans="1:15" x14ac:dyDescent="0.15">
      <c r="A7" s="3">
        <v>2</v>
      </c>
      <c r="B7" s="13" t="s">
        <v>56</v>
      </c>
      <c r="D7" s="7">
        <f>Headcount!D23</f>
        <v>2</v>
      </c>
      <c r="E7" s="7">
        <f>Headcount!E23</f>
        <v>2</v>
      </c>
      <c r="F7" s="7">
        <f>Headcount!F23</f>
        <v>2</v>
      </c>
      <c r="G7" s="7">
        <f>Headcount!G23</f>
        <v>2</v>
      </c>
      <c r="H7" s="8">
        <f>G7</f>
        <v>2</v>
      </c>
      <c r="I7" s="7">
        <f>Headcount!I23</f>
        <v>3</v>
      </c>
      <c r="J7" s="7">
        <f>Headcount!J23</f>
        <v>3</v>
      </c>
      <c r="K7" s="7">
        <f>Headcount!K23</f>
        <v>4</v>
      </c>
      <c r="L7" s="7">
        <f>Headcount!L23</f>
        <v>4</v>
      </c>
      <c r="N7" s="5" t="s">
        <v>151</v>
      </c>
    </row>
    <row r="8" spans="1:15" x14ac:dyDescent="0.15">
      <c r="A8" s="3">
        <v>3</v>
      </c>
      <c r="B8" s="1" t="s">
        <v>25</v>
      </c>
      <c r="D8" s="7">
        <f>Salaries!D23</f>
        <v>25</v>
      </c>
      <c r="E8" s="7">
        <f>Salaries!E23</f>
        <v>25</v>
      </c>
      <c r="F8" s="7">
        <f>Salaries!F23</f>
        <v>25</v>
      </c>
      <c r="G8" s="7">
        <f>Salaries!G23</f>
        <v>25</v>
      </c>
      <c r="H8" s="8">
        <f t="shared" ref="H8:H13" si="0">SUM(D8:G8)</f>
        <v>100</v>
      </c>
      <c r="I8" s="7">
        <f>Salaries!I23</f>
        <v>135</v>
      </c>
      <c r="J8" s="7">
        <f>Salaries!J23</f>
        <v>135</v>
      </c>
      <c r="K8" s="7">
        <f>Salaries!K23</f>
        <v>170</v>
      </c>
      <c r="L8" s="7">
        <f>Salaries!L23</f>
        <v>170</v>
      </c>
      <c r="N8" s="5" t="s">
        <v>154</v>
      </c>
    </row>
    <row r="9" spans="1:15" x14ac:dyDescent="0.15">
      <c r="A9" s="3">
        <v>4</v>
      </c>
      <c r="B9" s="1" t="s">
        <v>26</v>
      </c>
      <c r="D9" s="7">
        <f>D8*$N$9</f>
        <v>2.75</v>
      </c>
      <c r="E9" s="7">
        <f>E8*$N$9</f>
        <v>2.75</v>
      </c>
      <c r="F9" s="7">
        <f>F8*$N$9</f>
        <v>2.75</v>
      </c>
      <c r="G9" s="7">
        <f>G8*$N$9</f>
        <v>2.75</v>
      </c>
      <c r="H9" s="8">
        <f t="shared" si="0"/>
        <v>11</v>
      </c>
      <c r="I9" s="7">
        <f>I8*$N$9</f>
        <v>14.85</v>
      </c>
      <c r="J9" s="7">
        <f>J8*$N$9</f>
        <v>14.85</v>
      </c>
      <c r="K9" s="7">
        <f>K8*$N$9</f>
        <v>18.7</v>
      </c>
      <c r="L9" s="7">
        <f>L8*$N$9</f>
        <v>18.7</v>
      </c>
      <c r="N9" s="98">
        <v>0.11</v>
      </c>
      <c r="O9" s="1" t="s">
        <v>180</v>
      </c>
    </row>
    <row r="10" spans="1:15" x14ac:dyDescent="0.15">
      <c r="A10" s="3">
        <v>5</v>
      </c>
      <c r="B10" s="1" t="s">
        <v>27</v>
      </c>
      <c r="D10" s="7">
        <f>D8*$N$10</f>
        <v>1.875</v>
      </c>
      <c r="E10" s="7">
        <f>E8*$N$10</f>
        <v>1.875</v>
      </c>
      <c r="F10" s="7">
        <f>F8*$N$10</f>
        <v>1.875</v>
      </c>
      <c r="G10" s="7">
        <f>G8*$N$10</f>
        <v>1.875</v>
      </c>
      <c r="H10" s="8">
        <f t="shared" si="0"/>
        <v>7.5</v>
      </c>
      <c r="I10" s="7">
        <f>I8*$N$10</f>
        <v>10.125</v>
      </c>
      <c r="J10" s="7">
        <f>J8*$N$10</f>
        <v>10.125</v>
      </c>
      <c r="K10" s="7">
        <f>K8*$N$10</f>
        <v>12.75</v>
      </c>
      <c r="L10" s="7">
        <f>L8*$N$10</f>
        <v>12.75</v>
      </c>
      <c r="N10" s="99">
        <v>7.4999999999999997E-2</v>
      </c>
      <c r="O10" s="1" t="s">
        <v>180</v>
      </c>
    </row>
    <row r="11" spans="1:15" x14ac:dyDescent="0.15">
      <c r="A11" s="3">
        <v>6</v>
      </c>
      <c r="B11" s="1" t="s">
        <v>28</v>
      </c>
      <c r="D11" s="7">
        <f>($N$11*((D8*4)/1000))/4</f>
        <v>0.375</v>
      </c>
      <c r="E11" s="7">
        <f>($N$11*((E8*4)/1000))/4</f>
        <v>0.375</v>
      </c>
      <c r="F11" s="7">
        <f>($N$11*((F8*4)/1000))/4</f>
        <v>0.375</v>
      </c>
      <c r="G11" s="7">
        <f>($N$11*((G8*4)/1000))/4</f>
        <v>0.375</v>
      </c>
      <c r="H11" s="8">
        <f t="shared" si="0"/>
        <v>1.5</v>
      </c>
      <c r="I11" s="7">
        <f>$N$11*((I8*4)/1000)</f>
        <v>8.1000000000000014</v>
      </c>
      <c r="J11" s="7">
        <f>$N$11*((J8*4)/1000)</f>
        <v>8.1000000000000014</v>
      </c>
      <c r="K11" s="7">
        <f>$N$11*((K8*4)/1000)</f>
        <v>10.200000000000001</v>
      </c>
      <c r="L11" s="7">
        <f>$N$11*((L8*4)/1000)</f>
        <v>10.200000000000001</v>
      </c>
      <c r="N11" s="100">
        <v>15</v>
      </c>
      <c r="O11" s="1" t="s">
        <v>181</v>
      </c>
    </row>
    <row r="12" spans="1:15" x14ac:dyDescent="0.15">
      <c r="A12" s="3">
        <v>7</v>
      </c>
      <c r="B12" s="1" t="s">
        <v>29</v>
      </c>
      <c r="D12" s="7">
        <f>(D7*1.8)/4</f>
        <v>0.9</v>
      </c>
      <c r="E12" s="7">
        <f>(E7*1.8)/4</f>
        <v>0.9</v>
      </c>
      <c r="F12" s="7">
        <f>(F7*1.8)/4</f>
        <v>0.9</v>
      </c>
      <c r="G12" s="7">
        <f>(G7*1.8)/4</f>
        <v>0.9</v>
      </c>
      <c r="H12" s="8">
        <f t="shared" si="0"/>
        <v>3.6</v>
      </c>
      <c r="I12" s="22">
        <f>I7*1.8</f>
        <v>5.4</v>
      </c>
      <c r="J12" s="22">
        <f>J7*1.8</f>
        <v>5.4</v>
      </c>
      <c r="K12" s="22">
        <f>K7*1.8</f>
        <v>7.2</v>
      </c>
      <c r="L12" s="22">
        <f>L7*1.8</f>
        <v>7.2</v>
      </c>
      <c r="N12" s="100">
        <v>1800</v>
      </c>
      <c r="O12" s="1" t="s">
        <v>179</v>
      </c>
    </row>
    <row r="13" spans="1:15" x14ac:dyDescent="0.15">
      <c r="A13" s="3">
        <v>8</v>
      </c>
      <c r="B13" s="1" t="s">
        <v>30</v>
      </c>
      <c r="D13" s="34">
        <v>0</v>
      </c>
      <c r="E13" s="34">
        <f>IF(E7&gt;D7,(E7-D7)*$N$13/1000,0)</f>
        <v>0</v>
      </c>
      <c r="F13" s="34">
        <f t="shared" ref="F13:L13" si="1">IF(F7&gt;E7,(F7-E7)*$N$13/1000,0)</f>
        <v>0</v>
      </c>
      <c r="G13" s="34">
        <f t="shared" si="1"/>
        <v>0</v>
      </c>
      <c r="H13" s="35">
        <f t="shared" si="0"/>
        <v>0</v>
      </c>
      <c r="I13" s="34">
        <f t="shared" si="1"/>
        <v>5</v>
      </c>
      <c r="J13" s="34">
        <f t="shared" si="1"/>
        <v>0</v>
      </c>
      <c r="K13" s="34">
        <f t="shared" si="1"/>
        <v>5</v>
      </c>
      <c r="L13" s="34">
        <f t="shared" si="1"/>
        <v>0</v>
      </c>
      <c r="N13" s="100">
        <v>5000</v>
      </c>
      <c r="O13" s="1" t="s">
        <v>178</v>
      </c>
    </row>
    <row r="14" spans="1:15" x14ac:dyDescent="0.15">
      <c r="A14" s="3">
        <v>9</v>
      </c>
      <c r="B14" s="47" t="s">
        <v>31</v>
      </c>
      <c r="D14" s="7">
        <f>SUM(D8:D13)</f>
        <v>30.9</v>
      </c>
      <c r="E14" s="7">
        <f t="shared" ref="E14:L14" si="2">SUM(E8:E13)</f>
        <v>30.9</v>
      </c>
      <c r="F14" s="7">
        <f t="shared" si="2"/>
        <v>30.9</v>
      </c>
      <c r="G14" s="7">
        <f t="shared" si="2"/>
        <v>30.9</v>
      </c>
      <c r="H14" s="8">
        <f t="shared" si="2"/>
        <v>123.6</v>
      </c>
      <c r="I14" s="7">
        <f t="shared" si="2"/>
        <v>178.47499999999999</v>
      </c>
      <c r="J14" s="7">
        <f t="shared" si="2"/>
        <v>173.47499999999999</v>
      </c>
      <c r="K14" s="7">
        <f t="shared" si="2"/>
        <v>223.84999999999997</v>
      </c>
      <c r="L14" s="7">
        <f t="shared" si="2"/>
        <v>218.84999999999997</v>
      </c>
      <c r="N14" s="5"/>
    </row>
    <row r="15" spans="1:15" x14ac:dyDescent="0.15">
      <c r="A15" s="3">
        <v>10</v>
      </c>
      <c r="D15" s="7"/>
      <c r="E15" s="7"/>
      <c r="F15" s="7"/>
      <c r="G15" s="7"/>
      <c r="H15" s="8"/>
      <c r="I15" s="7"/>
      <c r="J15" s="7"/>
      <c r="K15" s="7"/>
      <c r="L15" s="7"/>
      <c r="N15" s="5"/>
    </row>
    <row r="16" spans="1:15" x14ac:dyDescent="0.15">
      <c r="A16" s="3">
        <v>11</v>
      </c>
      <c r="B16" s="6" t="s">
        <v>32</v>
      </c>
      <c r="D16" s="7"/>
      <c r="E16" s="7"/>
      <c r="F16" s="7"/>
      <c r="G16" s="7"/>
      <c r="H16" s="8"/>
      <c r="I16" s="7"/>
      <c r="J16" s="7"/>
      <c r="K16" s="7"/>
      <c r="L16" s="7"/>
      <c r="N16" s="5"/>
    </row>
    <row r="17" spans="1:15" x14ac:dyDescent="0.15">
      <c r="A17" s="3">
        <v>12</v>
      </c>
      <c r="B17" s="1" t="s">
        <v>33</v>
      </c>
      <c r="D17" s="7">
        <f>D7*($N$17/1000)/4</f>
        <v>1</v>
      </c>
      <c r="E17" s="7">
        <f>E7*($N$17/1000)/4</f>
        <v>1</v>
      </c>
      <c r="F17" s="7">
        <f>F7*($N$17/1000)/4</f>
        <v>1</v>
      </c>
      <c r="G17" s="7">
        <f>G7*($N$17/1000)/4</f>
        <v>1</v>
      </c>
      <c r="H17" s="8">
        <f>SUM(D17:G17)</f>
        <v>4</v>
      </c>
      <c r="I17" s="7">
        <f>I7*($N$17/1000)</f>
        <v>6</v>
      </c>
      <c r="J17" s="7">
        <f>J7*($N$17/1000)</f>
        <v>6</v>
      </c>
      <c r="K17" s="7">
        <f>K7*($N$17/1000)</f>
        <v>8</v>
      </c>
      <c r="L17" s="7">
        <f>L7*($N$17/1000)</f>
        <v>8</v>
      </c>
      <c r="N17" s="96">
        <v>2000</v>
      </c>
      <c r="O17" s="1" t="s">
        <v>179</v>
      </c>
    </row>
    <row r="18" spans="1:15" x14ac:dyDescent="0.15">
      <c r="A18" s="3">
        <v>13</v>
      </c>
      <c r="B18" s="1" t="s">
        <v>34</v>
      </c>
      <c r="D18" s="34">
        <f>D7*($N$18/1000)/4</f>
        <v>0.5</v>
      </c>
      <c r="E18" s="34">
        <f>E7*($N$18/1000)/4</f>
        <v>0.5</v>
      </c>
      <c r="F18" s="34">
        <f>F7*($N$18/1000)/4</f>
        <v>0.5</v>
      </c>
      <c r="G18" s="34">
        <f>G7*($N$18/1000)/4</f>
        <v>0.5</v>
      </c>
      <c r="H18" s="35">
        <f>SUM(D18:G18)</f>
        <v>2</v>
      </c>
      <c r="I18" s="34">
        <f>I7*($N$18/1000)</f>
        <v>3</v>
      </c>
      <c r="J18" s="34">
        <f>J7*($N$18/1000)</f>
        <v>3</v>
      </c>
      <c r="K18" s="34">
        <f>K7*($N$18/1000)</f>
        <v>4</v>
      </c>
      <c r="L18" s="34">
        <f>L7*($N$18/1000)</f>
        <v>4</v>
      </c>
      <c r="N18" s="96">
        <v>1000</v>
      </c>
      <c r="O18" s="1" t="s">
        <v>179</v>
      </c>
    </row>
    <row r="19" spans="1:15" x14ac:dyDescent="0.15">
      <c r="A19" s="3">
        <v>14</v>
      </c>
      <c r="B19" s="47" t="s">
        <v>31</v>
      </c>
      <c r="D19" s="7">
        <f>SUM(D17:D18)</f>
        <v>1.5</v>
      </c>
      <c r="E19" s="7">
        <f t="shared" ref="E19:L19" si="3">SUM(E17:E18)</f>
        <v>1.5</v>
      </c>
      <c r="F19" s="7">
        <f t="shared" si="3"/>
        <v>1.5</v>
      </c>
      <c r="G19" s="7">
        <f t="shared" si="3"/>
        <v>1.5</v>
      </c>
      <c r="H19" s="8">
        <f t="shared" si="3"/>
        <v>6</v>
      </c>
      <c r="I19" s="7">
        <f t="shared" si="3"/>
        <v>9</v>
      </c>
      <c r="J19" s="7">
        <f t="shared" si="3"/>
        <v>9</v>
      </c>
      <c r="K19" s="7">
        <f t="shared" si="3"/>
        <v>12</v>
      </c>
      <c r="L19" s="7">
        <f t="shared" si="3"/>
        <v>12</v>
      </c>
      <c r="N19" s="5"/>
    </row>
    <row r="20" spans="1:15" x14ac:dyDescent="0.15">
      <c r="A20" s="3">
        <v>15</v>
      </c>
      <c r="D20" s="7"/>
      <c r="E20" s="7"/>
      <c r="F20" s="7"/>
      <c r="G20" s="7"/>
      <c r="H20" s="8"/>
      <c r="I20" s="7"/>
      <c r="J20" s="7"/>
      <c r="K20" s="7"/>
      <c r="L20" s="7"/>
      <c r="N20" s="5"/>
    </row>
    <row r="21" spans="1:15" x14ac:dyDescent="0.15">
      <c r="A21" s="3">
        <v>16</v>
      </c>
      <c r="B21" s="6" t="s">
        <v>110</v>
      </c>
      <c r="D21" s="7"/>
      <c r="E21" s="7"/>
      <c r="F21" s="7"/>
      <c r="G21" s="7"/>
      <c r="H21" s="8"/>
      <c r="I21" s="7"/>
      <c r="J21" s="7"/>
      <c r="K21" s="7"/>
      <c r="L21" s="7"/>
    </row>
    <row r="22" spans="1:15" x14ac:dyDescent="0.15">
      <c r="A22" s="3">
        <v>17</v>
      </c>
      <c r="B22" s="45" t="s">
        <v>250</v>
      </c>
      <c r="D22" s="39">
        <v>10</v>
      </c>
      <c r="E22" s="39">
        <v>10</v>
      </c>
      <c r="F22" s="39">
        <v>10</v>
      </c>
      <c r="G22" s="39">
        <v>10</v>
      </c>
      <c r="H22" s="8">
        <f>SUM(D22:G22)</f>
        <v>40</v>
      </c>
      <c r="I22" s="39">
        <v>50</v>
      </c>
      <c r="J22" s="39">
        <v>50</v>
      </c>
      <c r="K22" s="39">
        <v>60</v>
      </c>
      <c r="L22" s="39">
        <v>70</v>
      </c>
    </row>
    <row r="23" spans="1:15" x14ac:dyDescent="0.15">
      <c r="A23" s="3">
        <v>18</v>
      </c>
      <c r="B23" s="1" t="s">
        <v>111</v>
      </c>
      <c r="D23" s="39"/>
      <c r="E23" s="39">
        <v>5</v>
      </c>
      <c r="F23" s="39"/>
      <c r="G23" s="39"/>
      <c r="H23" s="8">
        <f>SUM(D23:G23)</f>
        <v>5</v>
      </c>
      <c r="I23" s="39">
        <v>5</v>
      </c>
      <c r="J23" s="39">
        <v>10</v>
      </c>
      <c r="K23" s="39">
        <v>10</v>
      </c>
      <c r="L23" s="39">
        <v>15</v>
      </c>
    </row>
    <row r="24" spans="1:15" x14ac:dyDescent="0.15">
      <c r="A24" s="3">
        <v>19</v>
      </c>
      <c r="B24" s="1" t="s">
        <v>112</v>
      </c>
      <c r="D24" s="39"/>
      <c r="E24" s="39"/>
      <c r="F24" s="39"/>
      <c r="G24" s="39"/>
      <c r="H24" s="8">
        <f>SUM(D24:G24)</f>
        <v>0</v>
      </c>
      <c r="I24" s="39">
        <v>10</v>
      </c>
      <c r="J24" s="39">
        <v>10</v>
      </c>
      <c r="K24" s="39">
        <v>20</v>
      </c>
      <c r="L24" s="39">
        <v>20</v>
      </c>
    </row>
    <row r="25" spans="1:15" x14ac:dyDescent="0.15">
      <c r="A25" s="3">
        <v>20</v>
      </c>
      <c r="B25" s="1" t="s">
        <v>113</v>
      </c>
      <c r="D25" s="39"/>
      <c r="E25" s="39">
        <v>5</v>
      </c>
      <c r="F25" s="39">
        <v>5</v>
      </c>
      <c r="G25" s="39">
        <v>5</v>
      </c>
      <c r="H25" s="35">
        <f>SUM(D25:G25)</f>
        <v>15</v>
      </c>
      <c r="I25" s="39">
        <v>20</v>
      </c>
      <c r="J25" s="39">
        <v>30</v>
      </c>
      <c r="K25" s="39">
        <v>30</v>
      </c>
      <c r="L25" s="39">
        <v>30</v>
      </c>
    </row>
    <row r="26" spans="1:15" x14ac:dyDescent="0.15">
      <c r="A26" s="3">
        <v>21</v>
      </c>
      <c r="B26" s="47" t="s">
        <v>31</v>
      </c>
      <c r="D26" s="7">
        <f>SUM(D22:D25)</f>
        <v>10</v>
      </c>
      <c r="E26" s="7">
        <f>SUM(E22:E25)</f>
        <v>20</v>
      </c>
      <c r="F26" s="7">
        <f>SUM(F22:F25)</f>
        <v>15</v>
      </c>
      <c r="G26" s="7">
        <f>SUM(G22:G25)</f>
        <v>15</v>
      </c>
      <c r="H26" s="8">
        <f>SUM(D26:G26)</f>
        <v>60</v>
      </c>
      <c r="I26" s="7">
        <f>SUM(I22:I25)</f>
        <v>85</v>
      </c>
      <c r="J26" s="7">
        <f>SUM(J22:J25)</f>
        <v>100</v>
      </c>
      <c r="K26" s="7">
        <f>SUM(K22:K25)</f>
        <v>120</v>
      </c>
      <c r="L26" s="7">
        <f>SUM(L22:L25)</f>
        <v>135</v>
      </c>
    </row>
    <row r="27" spans="1:15" x14ac:dyDescent="0.15">
      <c r="A27" s="3">
        <v>22</v>
      </c>
      <c r="D27" s="7"/>
      <c r="E27" s="7"/>
      <c r="F27" s="7"/>
      <c r="G27" s="7"/>
      <c r="H27" s="8"/>
      <c r="I27" s="7"/>
      <c r="J27" s="7"/>
      <c r="K27" s="7"/>
      <c r="L27" s="7"/>
    </row>
    <row r="28" spans="1:15" x14ac:dyDescent="0.15">
      <c r="A28" s="3">
        <v>23</v>
      </c>
      <c r="B28" s="6" t="s">
        <v>114</v>
      </c>
      <c r="D28" s="7"/>
      <c r="E28" s="7"/>
      <c r="F28" s="7"/>
      <c r="G28" s="7"/>
      <c r="H28" s="8"/>
      <c r="I28" s="7"/>
      <c r="J28" s="7"/>
      <c r="K28" s="7"/>
      <c r="L28" s="7"/>
    </row>
    <row r="29" spans="1:15" x14ac:dyDescent="0.15">
      <c r="A29" s="3">
        <v>24</v>
      </c>
      <c r="B29" s="1" t="s">
        <v>115</v>
      </c>
      <c r="D29" s="22">
        <f>D$7*($N29/1000)/4</f>
        <v>0.5</v>
      </c>
      <c r="E29" s="22">
        <f t="shared" ref="E29:G30" si="4">E$7*($N29/1000)/4</f>
        <v>0.5</v>
      </c>
      <c r="F29" s="22">
        <f t="shared" si="4"/>
        <v>0.5</v>
      </c>
      <c r="G29" s="23">
        <f t="shared" si="4"/>
        <v>0.5</v>
      </c>
      <c r="H29" s="8">
        <f>SUM(D29:G29)</f>
        <v>2</v>
      </c>
      <c r="I29" s="22">
        <f>I$7*($N29/1000)</f>
        <v>3</v>
      </c>
      <c r="J29" s="22">
        <f t="shared" ref="J29:L30" si="5">J$7*($N29/1000)</f>
        <v>3</v>
      </c>
      <c r="K29" s="22">
        <f t="shared" si="5"/>
        <v>4</v>
      </c>
      <c r="L29" s="22">
        <f t="shared" si="5"/>
        <v>4</v>
      </c>
      <c r="N29" s="96">
        <v>1000</v>
      </c>
      <c r="O29" s="1" t="s">
        <v>179</v>
      </c>
    </row>
    <row r="30" spans="1:15" x14ac:dyDescent="0.15">
      <c r="A30" s="3">
        <v>25</v>
      </c>
      <c r="B30" s="1" t="s">
        <v>116</v>
      </c>
      <c r="D30" s="34">
        <f>D$7*($N30/1000)/4</f>
        <v>2.5000000000000001E-2</v>
      </c>
      <c r="E30" s="34">
        <f t="shared" si="4"/>
        <v>2.5000000000000001E-2</v>
      </c>
      <c r="F30" s="34">
        <f t="shared" si="4"/>
        <v>2.5000000000000001E-2</v>
      </c>
      <c r="G30" s="97">
        <f t="shared" si="4"/>
        <v>2.5000000000000001E-2</v>
      </c>
      <c r="H30" s="35">
        <f>SUM(D30:G30)</f>
        <v>0.1</v>
      </c>
      <c r="I30" s="34">
        <f>I$7*($N30/1000)</f>
        <v>0.15000000000000002</v>
      </c>
      <c r="J30" s="34">
        <f t="shared" si="5"/>
        <v>0.15000000000000002</v>
      </c>
      <c r="K30" s="34">
        <f t="shared" si="5"/>
        <v>0.2</v>
      </c>
      <c r="L30" s="34">
        <f t="shared" si="5"/>
        <v>0.2</v>
      </c>
      <c r="N30" s="96">
        <v>50</v>
      </c>
      <c r="O30" s="1" t="s">
        <v>179</v>
      </c>
    </row>
    <row r="31" spans="1:15" x14ac:dyDescent="0.15">
      <c r="A31" s="3">
        <v>26</v>
      </c>
      <c r="B31" s="47" t="s">
        <v>31</v>
      </c>
      <c r="D31" s="22">
        <f>SUM(D29:D30)</f>
        <v>0.52500000000000002</v>
      </c>
      <c r="E31" s="22">
        <f>SUM(E29:E30)</f>
        <v>0.52500000000000002</v>
      </c>
      <c r="F31" s="22">
        <f>SUM(F29:F30)</f>
        <v>0.52500000000000002</v>
      </c>
      <c r="G31" s="22">
        <f>SUM(G29:G30)</f>
        <v>0.52500000000000002</v>
      </c>
      <c r="H31" s="8">
        <f>SUM(D31:G31)</f>
        <v>2.1</v>
      </c>
      <c r="I31" s="22">
        <f>SUM(I29:I30)</f>
        <v>3.15</v>
      </c>
      <c r="J31" s="22">
        <f>SUM(J29:J30)</f>
        <v>3.15</v>
      </c>
      <c r="K31" s="22">
        <f>SUM(K29:K30)</f>
        <v>4.2</v>
      </c>
      <c r="L31" s="22">
        <f>SUM(L29:L30)</f>
        <v>4.2</v>
      </c>
    </row>
    <row r="32" spans="1:15" x14ac:dyDescent="0.15">
      <c r="A32" s="3">
        <v>27</v>
      </c>
      <c r="D32" s="7"/>
      <c r="E32" s="7"/>
      <c r="F32" s="7"/>
      <c r="G32" s="7"/>
      <c r="H32" s="8"/>
      <c r="I32" s="7"/>
      <c r="J32" s="7"/>
      <c r="K32" s="7"/>
      <c r="L32" s="7"/>
    </row>
    <row r="33" spans="1:12" ht="14" thickBot="1" x14ac:dyDescent="0.2">
      <c r="A33" s="3">
        <v>28</v>
      </c>
      <c r="B33" s="6" t="s">
        <v>117</v>
      </c>
      <c r="D33" s="36">
        <f>D14+D19+D26+D31</f>
        <v>42.924999999999997</v>
      </c>
      <c r="E33" s="36">
        <f t="shared" ref="E33:L33" si="6">E14+E19+E26+E31</f>
        <v>52.924999999999997</v>
      </c>
      <c r="F33" s="36">
        <f t="shared" si="6"/>
        <v>47.924999999999997</v>
      </c>
      <c r="G33" s="36">
        <f t="shared" si="6"/>
        <v>47.924999999999997</v>
      </c>
      <c r="H33" s="37">
        <f t="shared" si="6"/>
        <v>191.7</v>
      </c>
      <c r="I33" s="36">
        <f t="shared" si="6"/>
        <v>275.625</v>
      </c>
      <c r="J33" s="36">
        <f t="shared" si="6"/>
        <v>285.625</v>
      </c>
      <c r="K33" s="36">
        <f t="shared" si="6"/>
        <v>360.04999999999995</v>
      </c>
      <c r="L33" s="36">
        <f t="shared" si="6"/>
        <v>370.04999999999995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77" orientation="landscape"/>
  <headerFooter alignWithMargins="0"/>
  <ignoredErrors>
    <ignoredError sqref="H9:H10 H13 H26 H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9"/>
  <sheetViews>
    <sheetView zoomScale="150" zoomScaleNormal="150" workbookViewId="0">
      <pane ySplit="1" topLeftCell="A17" activePane="bottomLeft" state="frozen"/>
      <selection sqref="A1:O59"/>
      <selection pane="bottomLeft" activeCell="A6" sqref="A6:A49"/>
    </sheetView>
  </sheetViews>
  <sheetFormatPr baseColWidth="10" defaultColWidth="9.1640625" defaultRowHeight="13" x14ac:dyDescent="0.15"/>
  <cols>
    <col min="1" max="1" width="5.5" style="1" customWidth="1"/>
    <col min="2" max="2" width="31.5" style="1" customWidth="1"/>
    <col min="3" max="3" width="2.5" style="1" customWidth="1"/>
    <col min="4" max="12" width="10" style="1" customWidth="1"/>
    <col min="13" max="13" width="4.33203125" style="1" customWidth="1"/>
    <col min="14" max="14" width="9.1640625" style="5"/>
    <col min="15" max="15" width="25.6640625" style="1" customWidth="1"/>
    <col min="16" max="16384" width="9.1640625" style="1"/>
  </cols>
  <sheetData>
    <row r="1" spans="1:15" s="32" customFormat="1" ht="30" customHeight="1" x14ac:dyDescent="0.15">
      <c r="B1" s="33" t="s">
        <v>153</v>
      </c>
      <c r="C1" s="33"/>
      <c r="G1" s="33" t="s">
        <v>23</v>
      </c>
      <c r="N1" s="38"/>
    </row>
    <row r="3" spans="1:15" x14ac:dyDescent="0.15">
      <c r="E3" s="107" t="s">
        <v>16</v>
      </c>
      <c r="F3" s="107"/>
      <c r="H3" s="2"/>
    </row>
    <row r="4" spans="1:15" x14ac:dyDescent="0.15">
      <c r="D4" s="3" t="s">
        <v>12</v>
      </c>
      <c r="E4" s="3" t="s">
        <v>13</v>
      </c>
      <c r="F4" s="3" t="s">
        <v>14</v>
      </c>
      <c r="G4" s="3" t="s">
        <v>15</v>
      </c>
      <c r="H4" s="4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N4" s="5" t="s">
        <v>22</v>
      </c>
    </row>
    <row r="5" spans="1:15" s="3" customFormat="1" x14ac:dyDescent="0.15">
      <c r="D5" s="3" t="s">
        <v>243</v>
      </c>
      <c r="E5" s="3" t="s">
        <v>243</v>
      </c>
      <c r="F5" s="3" t="s">
        <v>243</v>
      </c>
      <c r="G5" s="3" t="s">
        <v>243</v>
      </c>
      <c r="H5" s="4" t="s">
        <v>243</v>
      </c>
      <c r="I5" s="3" t="s">
        <v>243</v>
      </c>
      <c r="J5" s="3" t="s">
        <v>243</v>
      </c>
      <c r="K5" s="3" t="s">
        <v>243</v>
      </c>
      <c r="L5" s="3" t="s">
        <v>243</v>
      </c>
    </row>
    <row r="6" spans="1:15" x14ac:dyDescent="0.15">
      <c r="A6" s="3">
        <v>1</v>
      </c>
      <c r="B6" s="6" t="s">
        <v>24</v>
      </c>
      <c r="H6" s="2"/>
    </row>
    <row r="7" spans="1:15" x14ac:dyDescent="0.15">
      <c r="A7" s="3">
        <v>2</v>
      </c>
      <c r="B7" s="13" t="s">
        <v>56</v>
      </c>
      <c r="D7" s="7">
        <f>Headcount!D12</f>
        <v>1.2</v>
      </c>
      <c r="E7" s="7">
        <f>Headcount!E12</f>
        <v>1.2</v>
      </c>
      <c r="F7" s="7">
        <f>Headcount!F12</f>
        <v>1.2</v>
      </c>
      <c r="G7" s="7">
        <f>Headcount!G12</f>
        <v>1.2</v>
      </c>
      <c r="H7" s="8">
        <f>G7</f>
        <v>1.2</v>
      </c>
      <c r="I7" s="7">
        <f>Headcount!I12</f>
        <v>2.5</v>
      </c>
      <c r="J7" s="7">
        <f>Headcount!J12</f>
        <v>3</v>
      </c>
      <c r="K7" s="7">
        <f>Headcount!K12</f>
        <v>4</v>
      </c>
      <c r="L7" s="7">
        <f>Headcount!L12</f>
        <v>5</v>
      </c>
      <c r="N7" s="5" t="s">
        <v>151</v>
      </c>
    </row>
    <row r="8" spans="1:15" x14ac:dyDescent="0.15">
      <c r="A8" s="3">
        <v>3</v>
      </c>
      <c r="B8" s="1" t="s">
        <v>25</v>
      </c>
      <c r="D8" s="7">
        <f>Salaries!D12</f>
        <v>22.75</v>
      </c>
      <c r="E8" s="7">
        <f>Salaries!E12</f>
        <v>22.75</v>
      </c>
      <c r="F8" s="7">
        <f>Salaries!F12</f>
        <v>22.75</v>
      </c>
      <c r="G8" s="7">
        <f>Salaries!G12</f>
        <v>22.75</v>
      </c>
      <c r="H8" s="8">
        <f t="shared" ref="H8:H13" si="0">SUM(D8:G8)</f>
        <v>91</v>
      </c>
      <c r="I8" s="7">
        <f>Salaries!I12</f>
        <v>130</v>
      </c>
      <c r="J8" s="7">
        <f>Salaries!J12</f>
        <v>145</v>
      </c>
      <c r="K8" s="7">
        <f>Salaries!K12</f>
        <v>205</v>
      </c>
      <c r="L8" s="7">
        <f>Salaries!L12</f>
        <v>240</v>
      </c>
      <c r="N8" s="5" t="s">
        <v>154</v>
      </c>
    </row>
    <row r="9" spans="1:15" x14ac:dyDescent="0.15">
      <c r="A9" s="3">
        <v>4</v>
      </c>
      <c r="B9" s="1" t="s">
        <v>26</v>
      </c>
      <c r="D9" s="7">
        <f>D8*$N$9</f>
        <v>2.5024999999999999</v>
      </c>
      <c r="E9" s="7">
        <f>E8*$N$9</f>
        <v>2.5024999999999999</v>
      </c>
      <c r="F9" s="7">
        <f>F8*$N$9</f>
        <v>2.5024999999999999</v>
      </c>
      <c r="G9" s="7">
        <f>G8*$N$9</f>
        <v>2.5024999999999999</v>
      </c>
      <c r="H9" s="8">
        <f t="shared" si="0"/>
        <v>10.01</v>
      </c>
      <c r="I9" s="7">
        <f>I8*$N$9</f>
        <v>14.3</v>
      </c>
      <c r="J9" s="7">
        <f>J8*$N$9</f>
        <v>15.95</v>
      </c>
      <c r="K9" s="7">
        <f>K8*$N$9</f>
        <v>22.55</v>
      </c>
      <c r="L9" s="7">
        <f>L8*$N$9</f>
        <v>26.4</v>
      </c>
      <c r="N9" s="40">
        <v>0.11</v>
      </c>
      <c r="O9" s="1" t="s">
        <v>180</v>
      </c>
    </row>
    <row r="10" spans="1:15" x14ac:dyDescent="0.15">
      <c r="A10" s="3">
        <v>5</v>
      </c>
      <c r="B10" s="1" t="s">
        <v>27</v>
      </c>
      <c r="D10" s="7">
        <f>D8*$N$10</f>
        <v>2.2749999999999999</v>
      </c>
      <c r="E10" s="7">
        <f>E8*$N$10</f>
        <v>2.2749999999999999</v>
      </c>
      <c r="F10" s="7">
        <f>F8*$N$10</f>
        <v>2.2749999999999999</v>
      </c>
      <c r="G10" s="7">
        <f>G8*$N$10</f>
        <v>2.2749999999999999</v>
      </c>
      <c r="H10" s="8">
        <f t="shared" si="0"/>
        <v>9.1</v>
      </c>
      <c r="I10" s="7">
        <f>I8*$N$10</f>
        <v>13</v>
      </c>
      <c r="J10" s="7">
        <f>J8*$N$10</f>
        <v>14.5</v>
      </c>
      <c r="K10" s="7">
        <f>K8*$N$10</f>
        <v>20.5</v>
      </c>
      <c r="L10" s="7">
        <f>L8*$N$10</f>
        <v>24</v>
      </c>
      <c r="N10" s="44">
        <v>0.1</v>
      </c>
      <c r="O10" s="1" t="s">
        <v>180</v>
      </c>
    </row>
    <row r="11" spans="1:15" x14ac:dyDescent="0.15">
      <c r="A11" s="3">
        <v>6</v>
      </c>
      <c r="B11" s="1" t="s">
        <v>28</v>
      </c>
      <c r="D11" s="7">
        <f>($N$11*((D8*4)/1000))/4</f>
        <v>0.34125</v>
      </c>
      <c r="E11" s="7">
        <f>($N$11*((E8*4)/1000))/4</f>
        <v>0.34125</v>
      </c>
      <c r="F11" s="7">
        <f>($N$11*((F8*4)/1000))/4</f>
        <v>0.34125</v>
      </c>
      <c r="G11" s="7">
        <f>($N$11*((G8*4)/1000))/4</f>
        <v>0.34125</v>
      </c>
      <c r="H11" s="8">
        <f t="shared" si="0"/>
        <v>1.365</v>
      </c>
      <c r="I11" s="7">
        <f>$N$11*((I8*4)/1000)</f>
        <v>7.8000000000000007</v>
      </c>
      <c r="J11" s="7">
        <f>$N$11*((J8*4)/1000)</f>
        <v>8.6999999999999993</v>
      </c>
      <c r="K11" s="7">
        <f>$N$11*((K8*4)/1000)</f>
        <v>12.299999999999999</v>
      </c>
      <c r="L11" s="7">
        <f>$N$11*((L8*4)/1000)</f>
        <v>14.399999999999999</v>
      </c>
      <c r="N11" s="96">
        <v>15</v>
      </c>
      <c r="O11" s="1" t="s">
        <v>181</v>
      </c>
    </row>
    <row r="12" spans="1:15" x14ac:dyDescent="0.15">
      <c r="A12" s="3">
        <v>7</v>
      </c>
      <c r="B12" s="1" t="s">
        <v>29</v>
      </c>
      <c r="D12" s="7">
        <f>(D7*1.8)/4</f>
        <v>0.54</v>
      </c>
      <c r="E12" s="7">
        <f>(E7*1.8)/4</f>
        <v>0.54</v>
      </c>
      <c r="F12" s="7">
        <f>(F7*1.8)/4</f>
        <v>0.54</v>
      </c>
      <c r="G12" s="7">
        <f>(G7*1.8)/4</f>
        <v>0.54</v>
      </c>
      <c r="H12" s="8">
        <f t="shared" si="0"/>
        <v>2.16</v>
      </c>
      <c r="I12" s="22">
        <f>I7*1.8</f>
        <v>4.5</v>
      </c>
      <c r="J12" s="22">
        <f>J7*1.8</f>
        <v>5.4</v>
      </c>
      <c r="K12" s="22">
        <f>K7*1.8</f>
        <v>7.2</v>
      </c>
      <c r="L12" s="22">
        <f>L7*1.8</f>
        <v>9</v>
      </c>
      <c r="N12" s="96">
        <v>1800</v>
      </c>
      <c r="O12" s="1" t="s">
        <v>179</v>
      </c>
    </row>
    <row r="13" spans="1:15" x14ac:dyDescent="0.15">
      <c r="A13" s="3">
        <v>8</v>
      </c>
      <c r="B13" s="1" t="s">
        <v>30</v>
      </c>
      <c r="D13" s="34">
        <v>0</v>
      </c>
      <c r="E13" s="34">
        <f>IF(E7&gt;D7,(E7-D7)*$N$13/1000,0)</f>
        <v>0</v>
      </c>
      <c r="F13" s="34">
        <f t="shared" ref="F13:L13" si="1">IF(F7&gt;E7,(F7-E7)*$N$13/1000,0)</f>
        <v>0</v>
      </c>
      <c r="G13" s="34">
        <f t="shared" si="1"/>
        <v>0</v>
      </c>
      <c r="H13" s="35">
        <f t="shared" si="0"/>
        <v>0</v>
      </c>
      <c r="I13" s="34">
        <f t="shared" si="1"/>
        <v>6.5</v>
      </c>
      <c r="J13" s="34">
        <f t="shared" si="1"/>
        <v>2.5</v>
      </c>
      <c r="K13" s="34">
        <f t="shared" si="1"/>
        <v>5</v>
      </c>
      <c r="L13" s="34">
        <f t="shared" si="1"/>
        <v>5</v>
      </c>
      <c r="N13" s="96">
        <v>5000</v>
      </c>
      <c r="O13" s="1" t="s">
        <v>178</v>
      </c>
    </row>
    <row r="14" spans="1:15" x14ac:dyDescent="0.15">
      <c r="A14" s="3">
        <v>9</v>
      </c>
      <c r="B14" s="47" t="s">
        <v>31</v>
      </c>
      <c r="D14" s="7">
        <f>SUM(D8:D13)</f>
        <v>28.408749999999998</v>
      </c>
      <c r="E14" s="7">
        <f t="shared" ref="E14:L14" si="2">SUM(E8:E13)</f>
        <v>28.408749999999998</v>
      </c>
      <c r="F14" s="7">
        <f t="shared" si="2"/>
        <v>28.408749999999998</v>
      </c>
      <c r="G14" s="7">
        <f t="shared" si="2"/>
        <v>28.408749999999998</v>
      </c>
      <c r="H14" s="8">
        <f t="shared" si="2"/>
        <v>113.63499999999999</v>
      </c>
      <c r="I14" s="7">
        <f t="shared" si="2"/>
        <v>176.10000000000002</v>
      </c>
      <c r="J14" s="7">
        <f t="shared" si="2"/>
        <v>192.04999999999998</v>
      </c>
      <c r="K14" s="7">
        <f t="shared" si="2"/>
        <v>272.55</v>
      </c>
      <c r="L14" s="7">
        <f t="shared" si="2"/>
        <v>318.79999999999995</v>
      </c>
    </row>
    <row r="15" spans="1:15" x14ac:dyDescent="0.15">
      <c r="A15" s="3">
        <v>10</v>
      </c>
      <c r="D15" s="7"/>
      <c r="E15" s="7"/>
      <c r="F15" s="7"/>
      <c r="G15" s="7"/>
      <c r="H15" s="8"/>
      <c r="I15" s="7"/>
      <c r="J15" s="7"/>
      <c r="K15" s="7"/>
      <c r="L15" s="7"/>
    </row>
    <row r="16" spans="1:15" x14ac:dyDescent="0.15">
      <c r="A16" s="3">
        <v>11</v>
      </c>
      <c r="B16" s="6" t="s">
        <v>32</v>
      </c>
      <c r="D16" s="7"/>
      <c r="E16" s="7"/>
      <c r="F16" s="7"/>
      <c r="G16" s="7"/>
      <c r="H16" s="8"/>
      <c r="I16" s="7"/>
      <c r="J16" s="7"/>
      <c r="K16" s="7"/>
      <c r="L16" s="7"/>
    </row>
    <row r="17" spans="1:15" x14ac:dyDescent="0.15">
      <c r="A17" s="3">
        <v>12</v>
      </c>
      <c r="B17" s="1" t="s">
        <v>33</v>
      </c>
      <c r="D17" s="7">
        <f>D7*($N$17/1000)/4</f>
        <v>0.6</v>
      </c>
      <c r="E17" s="7">
        <f>E7*($N$17/1000)/4</f>
        <v>0.6</v>
      </c>
      <c r="F17" s="7">
        <f>F7*($N$17/1000)/4</f>
        <v>0.6</v>
      </c>
      <c r="G17" s="7">
        <f>G7*($N$17/1000)/4</f>
        <v>0.6</v>
      </c>
      <c r="H17" s="8">
        <f>SUM(D17:G17)</f>
        <v>2.4</v>
      </c>
      <c r="I17" s="7">
        <f>I7*($N$17/1000)</f>
        <v>5</v>
      </c>
      <c r="J17" s="7">
        <f>J7*($N$17/1000)</f>
        <v>6</v>
      </c>
      <c r="K17" s="7">
        <f>K7*($N$17/1000)</f>
        <v>8</v>
      </c>
      <c r="L17" s="7">
        <f>L7*($N$17/1000)</f>
        <v>10</v>
      </c>
      <c r="N17" s="96">
        <v>2000</v>
      </c>
      <c r="O17" s="1" t="s">
        <v>179</v>
      </c>
    </row>
    <row r="18" spans="1:15" x14ac:dyDescent="0.15">
      <c r="A18" s="3">
        <v>13</v>
      </c>
      <c r="B18" s="1" t="s">
        <v>34</v>
      </c>
      <c r="D18" s="34">
        <f>D7*($N$18/1000)/4</f>
        <v>0.3</v>
      </c>
      <c r="E18" s="34">
        <f>E7*($N$18/1000)/4</f>
        <v>0.3</v>
      </c>
      <c r="F18" s="34">
        <f>F7*($N$18/1000)/4</f>
        <v>0.3</v>
      </c>
      <c r="G18" s="34">
        <f>G7*($N$18/1000)/4</f>
        <v>0.3</v>
      </c>
      <c r="H18" s="35">
        <f>SUM(D18:G18)</f>
        <v>1.2</v>
      </c>
      <c r="I18" s="34">
        <f>I7*($N$18/1000)</f>
        <v>2.5</v>
      </c>
      <c r="J18" s="34">
        <f>J7*($N$18/1000)</f>
        <v>3</v>
      </c>
      <c r="K18" s="34">
        <f>K7*($N$18/1000)</f>
        <v>4</v>
      </c>
      <c r="L18" s="34">
        <f>L7*($N$18/1000)</f>
        <v>5</v>
      </c>
      <c r="N18" s="96">
        <v>1000</v>
      </c>
      <c r="O18" s="1" t="s">
        <v>179</v>
      </c>
    </row>
    <row r="19" spans="1:15" x14ac:dyDescent="0.15">
      <c r="A19" s="3">
        <v>14</v>
      </c>
      <c r="B19" s="47" t="s">
        <v>31</v>
      </c>
      <c r="D19" s="7">
        <f>SUM(D17:D18)</f>
        <v>0.89999999999999991</v>
      </c>
      <c r="E19" s="7">
        <f t="shared" ref="E19:L19" si="3">SUM(E17:E18)</f>
        <v>0.89999999999999991</v>
      </c>
      <c r="F19" s="7">
        <f t="shared" si="3"/>
        <v>0.89999999999999991</v>
      </c>
      <c r="G19" s="7">
        <f t="shared" si="3"/>
        <v>0.89999999999999991</v>
      </c>
      <c r="H19" s="8">
        <f t="shared" si="3"/>
        <v>3.5999999999999996</v>
      </c>
      <c r="I19" s="7">
        <f t="shared" si="3"/>
        <v>7.5</v>
      </c>
      <c r="J19" s="7">
        <f t="shared" si="3"/>
        <v>9</v>
      </c>
      <c r="K19" s="7">
        <f t="shared" si="3"/>
        <v>12</v>
      </c>
      <c r="L19" s="7">
        <f t="shared" si="3"/>
        <v>15</v>
      </c>
    </row>
    <row r="20" spans="1:15" x14ac:dyDescent="0.15">
      <c r="A20" s="3">
        <v>15</v>
      </c>
      <c r="D20" s="7"/>
      <c r="E20" s="7"/>
      <c r="F20" s="7"/>
      <c r="G20" s="7"/>
      <c r="H20" s="8"/>
      <c r="I20" s="7"/>
      <c r="J20" s="7"/>
      <c r="K20" s="7"/>
      <c r="L20" s="7"/>
    </row>
    <row r="21" spans="1:15" x14ac:dyDescent="0.15">
      <c r="A21" s="3">
        <v>16</v>
      </c>
      <c r="B21" s="6" t="s">
        <v>35</v>
      </c>
      <c r="D21" s="7"/>
      <c r="E21" s="7"/>
      <c r="F21" s="7"/>
      <c r="G21" s="7"/>
      <c r="H21" s="8"/>
      <c r="I21" s="7"/>
      <c r="J21" s="7"/>
      <c r="K21" s="7"/>
      <c r="L21" s="7"/>
    </row>
    <row r="22" spans="1:15" x14ac:dyDescent="0.15">
      <c r="A22" s="3">
        <v>17</v>
      </c>
      <c r="B22" s="1" t="s">
        <v>36</v>
      </c>
      <c r="D22" s="39">
        <v>3</v>
      </c>
      <c r="E22" s="39"/>
      <c r="F22" s="39"/>
      <c r="G22" s="39"/>
      <c r="H22" s="8">
        <f>SUM(D22:G22)</f>
        <v>3</v>
      </c>
      <c r="I22" s="39">
        <v>3</v>
      </c>
      <c r="J22" s="39">
        <v>3</v>
      </c>
      <c r="K22" s="39">
        <v>3</v>
      </c>
      <c r="L22" s="39">
        <v>3</v>
      </c>
    </row>
    <row r="23" spans="1:15" x14ac:dyDescent="0.15">
      <c r="A23" s="3">
        <v>18</v>
      </c>
      <c r="B23" s="1" t="s">
        <v>37</v>
      </c>
      <c r="D23" s="39">
        <v>5</v>
      </c>
      <c r="E23" s="39"/>
      <c r="F23" s="39"/>
      <c r="G23" s="39"/>
      <c r="H23" s="8">
        <f>SUM(D23:G23)</f>
        <v>5</v>
      </c>
      <c r="I23" s="39">
        <v>5</v>
      </c>
      <c r="J23" s="39">
        <v>10</v>
      </c>
      <c r="K23" s="39">
        <v>10</v>
      </c>
      <c r="L23" s="39">
        <v>15</v>
      </c>
    </row>
    <row r="24" spans="1:15" x14ac:dyDescent="0.15">
      <c r="A24" s="3">
        <v>19</v>
      </c>
      <c r="B24" s="1" t="s">
        <v>38</v>
      </c>
      <c r="D24" s="39">
        <v>2</v>
      </c>
      <c r="E24" s="39"/>
      <c r="F24" s="39"/>
      <c r="G24" s="39"/>
      <c r="H24" s="8">
        <f>SUM(D24:G24)</f>
        <v>2</v>
      </c>
      <c r="I24" s="39">
        <v>2</v>
      </c>
      <c r="J24" s="39">
        <v>2</v>
      </c>
      <c r="K24" s="39">
        <v>2</v>
      </c>
      <c r="L24" s="39">
        <v>2</v>
      </c>
    </row>
    <row r="25" spans="1:15" x14ac:dyDescent="0.15">
      <c r="A25" s="3">
        <v>20</v>
      </c>
      <c r="B25" s="1" t="s">
        <v>39</v>
      </c>
      <c r="D25" s="39">
        <v>2</v>
      </c>
      <c r="E25" s="39"/>
      <c r="F25" s="39"/>
      <c r="G25" s="39"/>
      <c r="H25" s="35">
        <f>SUM(D25:G25)</f>
        <v>2</v>
      </c>
      <c r="I25" s="39">
        <v>2</v>
      </c>
      <c r="J25" s="39">
        <v>5</v>
      </c>
      <c r="K25" s="39">
        <v>5</v>
      </c>
      <c r="L25" s="39">
        <v>10</v>
      </c>
    </row>
    <row r="26" spans="1:15" x14ac:dyDescent="0.15">
      <c r="A26" s="3">
        <v>21</v>
      </c>
      <c r="B26" s="47" t="s">
        <v>31</v>
      </c>
      <c r="D26" s="7">
        <f>SUM(D22:D25)</f>
        <v>12</v>
      </c>
      <c r="E26" s="7">
        <f t="shared" ref="E26:L26" si="4">SUM(E22:E25)</f>
        <v>0</v>
      </c>
      <c r="F26" s="7">
        <f t="shared" si="4"/>
        <v>0</v>
      </c>
      <c r="G26" s="7">
        <f t="shared" si="4"/>
        <v>0</v>
      </c>
      <c r="H26" s="8">
        <f t="shared" si="4"/>
        <v>12</v>
      </c>
      <c r="I26" s="7">
        <f t="shared" si="4"/>
        <v>12</v>
      </c>
      <c r="J26" s="7">
        <f t="shared" si="4"/>
        <v>20</v>
      </c>
      <c r="K26" s="7">
        <f t="shared" si="4"/>
        <v>20</v>
      </c>
      <c r="L26" s="7">
        <f t="shared" si="4"/>
        <v>30</v>
      </c>
    </row>
    <row r="27" spans="1:15" x14ac:dyDescent="0.15">
      <c r="A27" s="3">
        <v>22</v>
      </c>
      <c r="D27" s="7"/>
      <c r="E27" s="7"/>
      <c r="F27" s="7"/>
      <c r="G27" s="7"/>
      <c r="H27" s="8"/>
      <c r="I27" s="7"/>
      <c r="J27" s="7"/>
      <c r="K27" s="7"/>
      <c r="L27" s="7"/>
    </row>
    <row r="28" spans="1:15" x14ac:dyDescent="0.15">
      <c r="A28" s="3">
        <v>23</v>
      </c>
      <c r="B28" s="6" t="s">
        <v>40</v>
      </c>
      <c r="D28" s="7"/>
      <c r="E28" s="7"/>
      <c r="F28" s="7"/>
      <c r="G28" s="7"/>
      <c r="H28" s="8"/>
      <c r="I28" s="7"/>
      <c r="J28" s="7"/>
      <c r="K28" s="7"/>
      <c r="L28" s="7"/>
    </row>
    <row r="29" spans="1:15" x14ac:dyDescent="0.15">
      <c r="A29" s="3">
        <v>24</v>
      </c>
      <c r="B29" s="1" t="s">
        <v>41</v>
      </c>
      <c r="D29" s="22">
        <f t="shared" ref="D29:D34" si="5">(D$7*$N29/1000)/4</f>
        <v>0.06</v>
      </c>
      <c r="E29" s="22">
        <f t="shared" ref="E29:G34" si="6">(E$7*$N29/1000)/4</f>
        <v>0.06</v>
      </c>
      <c r="F29" s="22">
        <f t="shared" si="6"/>
        <v>0.06</v>
      </c>
      <c r="G29" s="22">
        <f t="shared" si="6"/>
        <v>0.06</v>
      </c>
      <c r="H29" s="8">
        <f t="shared" ref="H29:H34" si="7">SUM(D29:G29)</f>
        <v>0.24</v>
      </c>
      <c r="I29" s="22">
        <f t="shared" ref="I29:L34" si="8">(D$7*$N29/1000)</f>
        <v>0.24</v>
      </c>
      <c r="J29" s="22">
        <f t="shared" si="8"/>
        <v>0.24</v>
      </c>
      <c r="K29" s="22">
        <f t="shared" si="8"/>
        <v>0.24</v>
      </c>
      <c r="L29" s="22">
        <f t="shared" si="8"/>
        <v>0.24</v>
      </c>
      <c r="N29" s="96">
        <v>200</v>
      </c>
      <c r="O29" s="1" t="s">
        <v>179</v>
      </c>
    </row>
    <row r="30" spans="1:15" x14ac:dyDescent="0.15">
      <c r="A30" s="3">
        <v>25</v>
      </c>
      <c r="B30" s="1" t="s">
        <v>42</v>
      </c>
      <c r="D30" s="22">
        <f t="shared" si="5"/>
        <v>1.4999999999999999E-2</v>
      </c>
      <c r="E30" s="22">
        <f t="shared" si="6"/>
        <v>1.4999999999999999E-2</v>
      </c>
      <c r="F30" s="22">
        <f t="shared" si="6"/>
        <v>1.4999999999999999E-2</v>
      </c>
      <c r="G30" s="22">
        <f t="shared" si="6"/>
        <v>1.4999999999999999E-2</v>
      </c>
      <c r="H30" s="8">
        <f t="shared" si="7"/>
        <v>0.06</v>
      </c>
      <c r="I30" s="22">
        <f t="shared" si="8"/>
        <v>0.06</v>
      </c>
      <c r="J30" s="22">
        <f t="shared" si="8"/>
        <v>0.06</v>
      </c>
      <c r="K30" s="22">
        <f t="shared" si="8"/>
        <v>0.06</v>
      </c>
      <c r="L30" s="22">
        <f t="shared" si="8"/>
        <v>0.06</v>
      </c>
      <c r="N30" s="96">
        <v>50</v>
      </c>
      <c r="O30" s="1" t="s">
        <v>179</v>
      </c>
    </row>
    <row r="31" spans="1:15" x14ac:dyDescent="0.15">
      <c r="A31" s="3">
        <v>26</v>
      </c>
      <c r="B31" s="1" t="s">
        <v>43</v>
      </c>
      <c r="D31" s="22">
        <f t="shared" si="5"/>
        <v>0.15</v>
      </c>
      <c r="E31" s="22">
        <f t="shared" si="6"/>
        <v>0.15</v>
      </c>
      <c r="F31" s="22">
        <f t="shared" si="6"/>
        <v>0.15</v>
      </c>
      <c r="G31" s="22">
        <f t="shared" si="6"/>
        <v>0.15</v>
      </c>
      <c r="H31" s="8">
        <f t="shared" si="7"/>
        <v>0.6</v>
      </c>
      <c r="I31" s="22">
        <f t="shared" si="8"/>
        <v>0.6</v>
      </c>
      <c r="J31" s="22">
        <f t="shared" si="8"/>
        <v>0.6</v>
      </c>
      <c r="K31" s="22">
        <f t="shared" si="8"/>
        <v>0.6</v>
      </c>
      <c r="L31" s="22">
        <f t="shared" si="8"/>
        <v>0.6</v>
      </c>
      <c r="N31" s="96">
        <v>500</v>
      </c>
      <c r="O31" s="1" t="s">
        <v>179</v>
      </c>
    </row>
    <row r="32" spans="1:15" x14ac:dyDescent="0.15">
      <c r="A32" s="3">
        <v>27</v>
      </c>
      <c r="B32" s="1" t="s">
        <v>44</v>
      </c>
      <c r="D32" s="22">
        <f t="shared" si="5"/>
        <v>0.15</v>
      </c>
      <c r="E32" s="22">
        <f t="shared" si="6"/>
        <v>0.15</v>
      </c>
      <c r="F32" s="22">
        <f t="shared" si="6"/>
        <v>0.15</v>
      </c>
      <c r="G32" s="22">
        <f t="shared" si="6"/>
        <v>0.15</v>
      </c>
      <c r="H32" s="8">
        <f t="shared" si="7"/>
        <v>0.6</v>
      </c>
      <c r="I32" s="22">
        <f t="shared" si="8"/>
        <v>0.6</v>
      </c>
      <c r="J32" s="22">
        <f t="shared" si="8"/>
        <v>0.6</v>
      </c>
      <c r="K32" s="22">
        <f t="shared" si="8"/>
        <v>0.6</v>
      </c>
      <c r="L32" s="22">
        <f t="shared" si="8"/>
        <v>0.6</v>
      </c>
      <c r="N32" s="96">
        <v>500</v>
      </c>
      <c r="O32" s="1" t="s">
        <v>179</v>
      </c>
    </row>
    <row r="33" spans="1:15" x14ac:dyDescent="0.15">
      <c r="A33" s="3">
        <v>28</v>
      </c>
      <c r="B33" s="1" t="s">
        <v>46</v>
      </c>
      <c r="D33" s="22">
        <f t="shared" si="5"/>
        <v>0.03</v>
      </c>
      <c r="E33" s="22">
        <f t="shared" si="6"/>
        <v>0.03</v>
      </c>
      <c r="F33" s="22">
        <f t="shared" si="6"/>
        <v>0.03</v>
      </c>
      <c r="G33" s="22">
        <f t="shared" si="6"/>
        <v>0.03</v>
      </c>
      <c r="H33" s="8">
        <f t="shared" si="7"/>
        <v>0.12</v>
      </c>
      <c r="I33" s="22">
        <f t="shared" si="8"/>
        <v>0.12</v>
      </c>
      <c r="J33" s="22">
        <f t="shared" si="8"/>
        <v>0.12</v>
      </c>
      <c r="K33" s="22">
        <f t="shared" si="8"/>
        <v>0.12</v>
      </c>
      <c r="L33" s="22">
        <f t="shared" si="8"/>
        <v>0.12</v>
      </c>
      <c r="N33" s="96">
        <v>100</v>
      </c>
      <c r="O33" s="1" t="s">
        <v>179</v>
      </c>
    </row>
    <row r="34" spans="1:15" x14ac:dyDescent="0.15">
      <c r="A34" s="3">
        <v>29</v>
      </c>
      <c r="B34" s="1" t="s">
        <v>45</v>
      </c>
      <c r="D34" s="34">
        <f t="shared" si="5"/>
        <v>7.4999999999999997E-2</v>
      </c>
      <c r="E34" s="34">
        <f t="shared" si="6"/>
        <v>7.4999999999999997E-2</v>
      </c>
      <c r="F34" s="34">
        <f t="shared" si="6"/>
        <v>7.4999999999999997E-2</v>
      </c>
      <c r="G34" s="34">
        <f t="shared" si="6"/>
        <v>7.4999999999999997E-2</v>
      </c>
      <c r="H34" s="35">
        <f t="shared" si="7"/>
        <v>0.3</v>
      </c>
      <c r="I34" s="34">
        <f t="shared" si="8"/>
        <v>0.3</v>
      </c>
      <c r="J34" s="34">
        <f t="shared" si="8"/>
        <v>0.3</v>
      </c>
      <c r="K34" s="34">
        <f t="shared" si="8"/>
        <v>0.3</v>
      </c>
      <c r="L34" s="34">
        <f t="shared" si="8"/>
        <v>0.3</v>
      </c>
      <c r="N34" s="96">
        <v>250</v>
      </c>
      <c r="O34" s="1" t="s">
        <v>179</v>
      </c>
    </row>
    <row r="35" spans="1:15" x14ac:dyDescent="0.15">
      <c r="A35" s="3">
        <v>30</v>
      </c>
      <c r="B35" s="47" t="s">
        <v>31</v>
      </c>
      <c r="D35" s="7">
        <f>SUM(D29:D34)</f>
        <v>0.48000000000000004</v>
      </c>
      <c r="E35" s="7">
        <f t="shared" ref="E35:L35" si="9">SUM(E29:E34)</f>
        <v>0.48000000000000004</v>
      </c>
      <c r="F35" s="7">
        <f t="shared" si="9"/>
        <v>0.48000000000000004</v>
      </c>
      <c r="G35" s="7">
        <f t="shared" si="9"/>
        <v>0.48000000000000004</v>
      </c>
      <c r="H35" s="8">
        <f t="shared" si="9"/>
        <v>1.9200000000000002</v>
      </c>
      <c r="I35" s="7">
        <f t="shared" si="9"/>
        <v>1.9200000000000002</v>
      </c>
      <c r="J35" s="7">
        <f t="shared" si="9"/>
        <v>1.9200000000000002</v>
      </c>
      <c r="K35" s="7">
        <f t="shared" si="9"/>
        <v>1.9200000000000002</v>
      </c>
      <c r="L35" s="7">
        <f t="shared" si="9"/>
        <v>1.9200000000000002</v>
      </c>
    </row>
    <row r="36" spans="1:15" x14ac:dyDescent="0.15">
      <c r="A36" s="3">
        <v>31</v>
      </c>
      <c r="D36" s="7"/>
      <c r="E36" s="7"/>
      <c r="F36" s="7"/>
      <c r="G36" s="7"/>
      <c r="H36" s="8"/>
      <c r="I36" s="7"/>
      <c r="J36" s="7"/>
      <c r="K36" s="7"/>
      <c r="L36" s="7"/>
    </row>
    <row r="37" spans="1:15" x14ac:dyDescent="0.15">
      <c r="A37" s="3">
        <v>32</v>
      </c>
      <c r="B37" s="6" t="s">
        <v>47</v>
      </c>
      <c r="D37" s="7"/>
      <c r="E37" s="7"/>
      <c r="F37" s="7"/>
      <c r="G37" s="7"/>
      <c r="H37" s="8"/>
      <c r="I37" s="7"/>
      <c r="J37" s="7"/>
      <c r="K37" s="7"/>
      <c r="L37" s="7"/>
    </row>
    <row r="38" spans="1:15" x14ac:dyDescent="0.15">
      <c r="A38" s="3">
        <v>33</v>
      </c>
      <c r="D38" s="7"/>
      <c r="E38" s="7"/>
      <c r="F38" s="7"/>
      <c r="G38" s="7"/>
      <c r="H38" s="8"/>
      <c r="I38" s="7"/>
      <c r="J38" s="7"/>
      <c r="K38" s="7"/>
      <c r="L38" s="7"/>
    </row>
    <row r="39" spans="1:15" x14ac:dyDescent="0.15">
      <c r="A39" s="3">
        <v>34</v>
      </c>
      <c r="B39" s="1" t="s">
        <v>48</v>
      </c>
      <c r="D39" s="39">
        <v>1</v>
      </c>
      <c r="E39" s="39">
        <v>1</v>
      </c>
      <c r="F39" s="39">
        <v>1</v>
      </c>
      <c r="G39" s="39">
        <v>1</v>
      </c>
      <c r="H39" s="8">
        <f t="shared" ref="H39:H44" si="10">SUM(D39:G39)</f>
        <v>4</v>
      </c>
      <c r="I39" s="39">
        <v>4</v>
      </c>
      <c r="J39" s="39">
        <v>4</v>
      </c>
      <c r="K39" s="39">
        <v>8</v>
      </c>
      <c r="L39" s="39">
        <v>8</v>
      </c>
    </row>
    <row r="40" spans="1:15" x14ac:dyDescent="0.15">
      <c r="A40" s="3">
        <v>35</v>
      </c>
      <c r="B40" s="1" t="s">
        <v>49</v>
      </c>
      <c r="D40" s="39"/>
      <c r="E40" s="39"/>
      <c r="F40" s="39"/>
      <c r="G40" s="39">
        <v>10</v>
      </c>
      <c r="H40" s="8">
        <f t="shared" si="10"/>
        <v>10</v>
      </c>
      <c r="I40" s="39">
        <v>10</v>
      </c>
      <c r="J40" s="39">
        <v>15</v>
      </c>
      <c r="K40" s="39">
        <v>15</v>
      </c>
      <c r="L40" s="39">
        <v>20</v>
      </c>
    </row>
    <row r="41" spans="1:15" x14ac:dyDescent="0.15">
      <c r="A41" s="3">
        <v>36</v>
      </c>
      <c r="B41" s="1" t="s">
        <v>50</v>
      </c>
      <c r="D41" s="39">
        <v>2</v>
      </c>
      <c r="E41" s="39">
        <v>2</v>
      </c>
      <c r="F41" s="39">
        <v>2</v>
      </c>
      <c r="G41" s="39">
        <v>2</v>
      </c>
      <c r="H41" s="8">
        <f t="shared" si="10"/>
        <v>8</v>
      </c>
      <c r="I41" s="39">
        <v>10</v>
      </c>
      <c r="J41" s="39">
        <v>10</v>
      </c>
      <c r="K41" s="39">
        <v>15</v>
      </c>
      <c r="L41" s="39">
        <v>15</v>
      </c>
    </row>
    <row r="42" spans="1:15" x14ac:dyDescent="0.15">
      <c r="A42" s="3">
        <v>37</v>
      </c>
      <c r="B42" s="1" t="s">
        <v>51</v>
      </c>
      <c r="D42" s="39"/>
      <c r="E42" s="39"/>
      <c r="F42" s="39"/>
      <c r="G42" s="39">
        <v>5</v>
      </c>
      <c r="H42" s="8">
        <f t="shared" si="10"/>
        <v>5</v>
      </c>
      <c r="I42" s="39">
        <v>5</v>
      </c>
      <c r="J42" s="39">
        <v>5</v>
      </c>
      <c r="K42" s="39">
        <v>5</v>
      </c>
      <c r="L42" s="39">
        <v>5</v>
      </c>
    </row>
    <row r="43" spans="1:15" x14ac:dyDescent="0.15">
      <c r="A43" s="3">
        <v>38</v>
      </c>
      <c r="B43" s="1" t="s">
        <v>52</v>
      </c>
      <c r="D43" s="39">
        <v>2</v>
      </c>
      <c r="E43" s="39">
        <v>2</v>
      </c>
      <c r="F43" s="39">
        <v>2</v>
      </c>
      <c r="G43" s="39">
        <v>2</v>
      </c>
      <c r="H43" s="8">
        <f t="shared" si="10"/>
        <v>8</v>
      </c>
      <c r="I43" s="39">
        <v>10</v>
      </c>
      <c r="J43" s="39">
        <v>10</v>
      </c>
      <c r="K43" s="39">
        <v>10</v>
      </c>
      <c r="L43" s="39">
        <v>15</v>
      </c>
    </row>
    <row r="44" spans="1:15" x14ac:dyDescent="0.15">
      <c r="A44" s="3">
        <v>39</v>
      </c>
      <c r="B44" s="1" t="s">
        <v>53</v>
      </c>
      <c r="D44" s="39"/>
      <c r="E44" s="39"/>
      <c r="F44" s="39"/>
      <c r="G44" s="39">
        <v>5</v>
      </c>
      <c r="H44" s="35">
        <f t="shared" si="10"/>
        <v>5</v>
      </c>
      <c r="I44" s="39">
        <v>5</v>
      </c>
      <c r="J44" s="39">
        <v>5</v>
      </c>
      <c r="K44" s="39">
        <v>10</v>
      </c>
      <c r="L44" s="39">
        <v>20</v>
      </c>
    </row>
    <row r="45" spans="1:15" x14ac:dyDescent="0.15">
      <c r="A45" s="3">
        <v>40</v>
      </c>
      <c r="B45" s="47" t="s">
        <v>31</v>
      </c>
      <c r="D45" s="7">
        <f>SUM(D39:D44)</f>
        <v>5</v>
      </c>
      <c r="E45" s="7">
        <f t="shared" ref="E45:L45" si="11">SUM(E39:E44)</f>
        <v>5</v>
      </c>
      <c r="F45" s="7">
        <f t="shared" si="11"/>
        <v>5</v>
      </c>
      <c r="G45" s="7">
        <f t="shared" si="11"/>
        <v>25</v>
      </c>
      <c r="H45" s="8">
        <f t="shared" si="11"/>
        <v>40</v>
      </c>
      <c r="I45" s="7">
        <f t="shared" si="11"/>
        <v>44</v>
      </c>
      <c r="J45" s="7">
        <f t="shared" si="11"/>
        <v>49</v>
      </c>
      <c r="K45" s="7">
        <f t="shared" si="11"/>
        <v>63</v>
      </c>
      <c r="L45" s="7">
        <f t="shared" si="11"/>
        <v>83</v>
      </c>
    </row>
    <row r="46" spans="1:15" x14ac:dyDescent="0.15">
      <c r="A46" s="3">
        <v>41</v>
      </c>
      <c r="D46" s="7"/>
      <c r="E46" s="7"/>
      <c r="F46" s="7"/>
      <c r="G46" s="7"/>
      <c r="H46" s="8"/>
      <c r="I46" s="7"/>
      <c r="J46" s="7"/>
      <c r="K46" s="7"/>
      <c r="L46" s="7"/>
    </row>
    <row r="47" spans="1:15" x14ac:dyDescent="0.15">
      <c r="A47" s="3">
        <v>42</v>
      </c>
      <c r="B47" s="6" t="s">
        <v>54</v>
      </c>
      <c r="D47" s="7">
        <f>Facilities!D21</f>
        <v>6.5</v>
      </c>
      <c r="E47" s="7">
        <f>Facilities!E21</f>
        <v>6.5</v>
      </c>
      <c r="F47" s="7">
        <f>Facilities!F21</f>
        <v>6.5</v>
      </c>
      <c r="G47" s="7">
        <f>Facilities!G21</f>
        <v>6.5</v>
      </c>
      <c r="H47" s="8">
        <f>SUM(D47:G47)</f>
        <v>26</v>
      </c>
      <c r="I47" s="7">
        <f>Facilities!I21</f>
        <v>47.5</v>
      </c>
      <c r="J47" s="7">
        <f>Facilities!J21</f>
        <v>70</v>
      </c>
      <c r="K47" s="7">
        <f>Facilities!K21</f>
        <v>105</v>
      </c>
      <c r="L47" s="7">
        <f>Facilities!L21</f>
        <v>145</v>
      </c>
      <c r="N47" s="5" t="s">
        <v>152</v>
      </c>
    </row>
    <row r="48" spans="1:15" x14ac:dyDescent="0.15">
      <c r="A48" s="3">
        <v>43</v>
      </c>
      <c r="D48" s="7"/>
      <c r="E48" s="7"/>
      <c r="F48" s="7"/>
      <c r="G48" s="7"/>
      <c r="H48" s="8"/>
      <c r="I48" s="7"/>
      <c r="J48" s="7"/>
      <c r="K48" s="7"/>
      <c r="L48" s="7"/>
    </row>
    <row r="49" spans="1:12" ht="14" thickBot="1" x14ac:dyDescent="0.2">
      <c r="A49" s="3">
        <v>44</v>
      </c>
      <c r="B49" s="6" t="s">
        <v>55</v>
      </c>
      <c r="D49" s="36">
        <f>D14+D19+D26+D35+D45+D47</f>
        <v>53.288749999999993</v>
      </c>
      <c r="E49" s="36">
        <f t="shared" ref="E49:L49" si="12">E14+E19+E26+E35+E45+E47</f>
        <v>41.288749999999993</v>
      </c>
      <c r="F49" s="36">
        <f t="shared" si="12"/>
        <v>41.288749999999993</v>
      </c>
      <c r="G49" s="36">
        <f t="shared" si="12"/>
        <v>61.288749999999993</v>
      </c>
      <c r="H49" s="37">
        <f t="shared" si="12"/>
        <v>197.15499999999997</v>
      </c>
      <c r="I49" s="36">
        <f t="shared" si="12"/>
        <v>289.02</v>
      </c>
      <c r="J49" s="36">
        <f t="shared" si="12"/>
        <v>341.96999999999997</v>
      </c>
      <c r="K49" s="36">
        <f t="shared" si="12"/>
        <v>474.47</v>
      </c>
      <c r="L49" s="36">
        <f t="shared" si="12"/>
        <v>593.72</v>
      </c>
    </row>
  </sheetData>
  <mergeCells count="1">
    <mergeCell ref="E3:F3"/>
  </mergeCells>
  <phoneticPr fontId="4" type="noConversion"/>
  <pageMargins left="0.75" right="0.75" top="1" bottom="1" header="0.5" footer="0.5"/>
  <pageSetup paperSize="9" scale="71" orientation="landscape"/>
  <headerFooter alignWithMargins="0"/>
  <ignoredErrors>
    <ignoredError sqref="H9:H10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P&amp;L</vt:lpstr>
      <vt:lpstr>Cash Flow</vt:lpstr>
      <vt:lpstr>Valuation</vt:lpstr>
      <vt:lpstr>Sales Summary</vt:lpstr>
      <vt:lpstr>Cost of Sales</vt:lpstr>
      <vt:lpstr>Manufacturing</vt:lpstr>
      <vt:lpstr>S&amp;M</vt:lpstr>
      <vt:lpstr>R&amp;D</vt:lpstr>
      <vt:lpstr>G&amp;A</vt:lpstr>
      <vt:lpstr>Headcount</vt:lpstr>
      <vt:lpstr>Salaries</vt:lpstr>
      <vt:lpstr>Capex</vt:lpstr>
      <vt:lpstr>Facilities</vt:lpstr>
      <vt:lpstr>Capex!Print_Area</vt:lpstr>
      <vt:lpstr>'Cash Flow'!Print_Area</vt:lpstr>
      <vt:lpstr>'Cost of Sales'!Print_Area</vt:lpstr>
      <vt:lpstr>Facilities!Print_Area</vt:lpstr>
      <vt:lpstr>'G&amp;A'!Print_Area</vt:lpstr>
      <vt:lpstr>Headcount!Print_Area</vt:lpstr>
      <vt:lpstr>Manufacturing!Print_Area</vt:lpstr>
      <vt:lpstr>'P&amp;L'!Print_Area</vt:lpstr>
      <vt:lpstr>'R&amp;D'!Print_Area</vt:lpstr>
      <vt:lpstr>'S&amp;M'!Print_Area</vt:lpstr>
      <vt:lpstr>Salaries!Print_Area</vt:lpstr>
      <vt:lpstr>'Sales Summary'!Print_Area</vt:lpstr>
      <vt:lpstr>Valuation!Print_Area</vt:lpstr>
    </vt:vector>
  </TitlesOfParts>
  <Company> Hi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Harris</dc:creator>
  <cp:lastModifiedBy>Tom Harris</cp:lastModifiedBy>
  <cp:lastPrinted>2006-07-03T16:08:20Z</cp:lastPrinted>
  <dcterms:created xsi:type="dcterms:W3CDTF">2003-02-12T15:55:33Z</dcterms:created>
  <dcterms:modified xsi:type="dcterms:W3CDTF">2018-03-28T15:48:15Z</dcterms:modified>
</cp:coreProperties>
</file>